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240" windowHeight="12435"/>
  </bookViews>
  <sheets>
    <sheet name="Hoja1" sheetId="1" r:id="rId1"/>
    <sheet name="Hoja2" sheetId="2" r:id="rId2"/>
  </sheets>
  <definedNames>
    <definedName name="_xlnm._FilterDatabase" localSheetId="0" hidden="1">Hoja1!$A$10:$O$97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2" l="1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L24" i="1"/>
  <c r="M73" i="1"/>
  <c r="L73" i="1"/>
  <c r="H73" i="1"/>
  <c r="G73" i="1"/>
  <c r="F73" i="1"/>
  <c r="M52" i="1"/>
  <c r="L52" i="1"/>
  <c r="J52" i="1"/>
  <c r="H52" i="1"/>
  <c r="G52" i="1"/>
  <c r="F52" i="1"/>
  <c r="M44" i="1"/>
  <c r="L44" i="1"/>
  <c r="J44" i="1"/>
  <c r="H44" i="1"/>
  <c r="G44" i="1"/>
  <c r="F44" i="1"/>
  <c r="M38" i="1"/>
  <c r="L38" i="1"/>
  <c r="J38" i="1"/>
  <c r="H38" i="1"/>
  <c r="G38" i="1"/>
  <c r="F38" i="1"/>
  <c r="F31" i="1"/>
  <c r="M92" i="1"/>
  <c r="L92" i="1"/>
  <c r="J92" i="1"/>
  <c r="H92" i="1"/>
  <c r="G92" i="1"/>
  <c r="F92" i="1"/>
  <c r="M55" i="1"/>
  <c r="L55" i="1"/>
  <c r="J55" i="1"/>
  <c r="H55" i="1"/>
  <c r="G55" i="1"/>
  <c r="F55" i="1"/>
  <c r="M57" i="1"/>
  <c r="L57" i="1"/>
  <c r="J57" i="1"/>
  <c r="H57" i="1"/>
  <c r="G57" i="1"/>
  <c r="F57" i="1"/>
  <c r="M51" i="1"/>
  <c r="L51" i="1"/>
  <c r="H51" i="1"/>
  <c r="G51" i="1"/>
  <c r="F51" i="1"/>
  <c r="M45" i="1"/>
  <c r="L45" i="1"/>
  <c r="J45" i="1"/>
  <c r="H45" i="1"/>
  <c r="G45" i="1"/>
  <c r="F45" i="1"/>
  <c r="L41" i="1"/>
  <c r="M41" i="1"/>
  <c r="H41" i="1"/>
  <c r="G41" i="1"/>
  <c r="F41" i="1"/>
  <c r="M66" i="1"/>
  <c r="L66" i="1"/>
  <c r="J66" i="1"/>
  <c r="H66" i="1"/>
  <c r="G66" i="1"/>
  <c r="F66" i="1"/>
  <c r="L62" i="1"/>
  <c r="M62" i="1"/>
  <c r="J62" i="1"/>
  <c r="H62" i="1"/>
  <c r="G62" i="1"/>
  <c r="F62" i="1"/>
  <c r="L65" i="1"/>
  <c r="M65" i="1"/>
  <c r="J65" i="1"/>
  <c r="H65" i="1"/>
  <c r="G65" i="1"/>
  <c r="F65" i="1"/>
  <c r="L96" i="1" l="1"/>
  <c r="L84" i="1"/>
  <c r="L82" i="1"/>
  <c r="L43" i="1"/>
  <c r="L32" i="1"/>
  <c r="L72" i="1"/>
  <c r="L18" i="1"/>
  <c r="L17" i="1"/>
  <c r="L95" i="1"/>
  <c r="L94" i="1"/>
  <c r="L93" i="1"/>
  <c r="L90" i="1"/>
  <c r="L29" i="1"/>
  <c r="L83" i="1"/>
  <c r="L75" i="1" l="1"/>
  <c r="F75" i="1"/>
  <c r="L70" i="1"/>
  <c r="L64" i="1"/>
  <c r="L60" i="1"/>
  <c r="L54" i="1"/>
  <c r="L50" i="1"/>
  <c r="L47" i="1"/>
  <c r="L46" i="1"/>
  <c r="L42" i="1"/>
  <c r="M31" i="1"/>
  <c r="L31" i="1"/>
  <c r="J31" i="1"/>
  <c r="H31" i="1"/>
  <c r="G31" i="1"/>
  <c r="L39" i="1"/>
  <c r="F39" i="1"/>
  <c r="L30" i="1" l="1"/>
  <c r="L14" i="1"/>
  <c r="F14" i="1"/>
  <c r="L15" i="1"/>
  <c r="M12" i="1"/>
  <c r="L12" i="1"/>
  <c r="G12" i="1"/>
  <c r="H12" i="1"/>
  <c r="F12" i="1"/>
  <c r="L16" i="1"/>
  <c r="L77" i="1"/>
  <c r="L76" i="1"/>
  <c r="F76" i="1"/>
  <c r="L74" i="1"/>
  <c r="L71" i="1"/>
  <c r="L69" i="1"/>
  <c r="F69" i="1"/>
  <c r="L67" i="1"/>
  <c r="L58" i="1"/>
  <c r="F58" i="1"/>
  <c r="L53" i="1"/>
  <c r="F53" i="1"/>
  <c r="L56" i="1"/>
  <c r="L48" i="1"/>
  <c r="F48" i="1"/>
  <c r="L34" i="1"/>
  <c r="L37" i="1"/>
  <c r="F37" i="1"/>
  <c r="L28" i="1"/>
  <c r="L23" i="1"/>
  <c r="L13" i="1"/>
  <c r="L20" i="1"/>
  <c r="L59" i="1"/>
  <c r="L49" i="1"/>
  <c r="L80" i="1"/>
  <c r="L40" i="1"/>
  <c r="L21" i="1"/>
  <c r="L19" i="1"/>
  <c r="L63" i="1" l="1"/>
  <c r="M63" i="1"/>
  <c r="L36" i="1" l="1"/>
  <c r="L27" i="1"/>
  <c r="L91" i="1"/>
  <c r="L35" i="1"/>
  <c r="L25" i="1" l="1"/>
  <c r="L78" i="1"/>
  <c r="M78" i="1"/>
  <c r="L33" i="1"/>
  <c r="L22" i="1"/>
  <c r="M47" i="1"/>
  <c r="H47" i="1"/>
  <c r="G47" i="1"/>
  <c r="F47" i="1"/>
  <c r="F33" i="1"/>
  <c r="L11" i="1"/>
  <c r="F11" i="1"/>
  <c r="M87" i="1" l="1"/>
  <c r="L87" i="1"/>
  <c r="F87" i="1"/>
  <c r="M89" i="1"/>
  <c r="L89" i="1"/>
  <c r="H89" i="1"/>
  <c r="G89" i="1"/>
  <c r="F89" i="1"/>
  <c r="G50" i="1" l="1"/>
  <c r="M56" i="1" l="1"/>
  <c r="H56" i="1"/>
  <c r="J56" i="1"/>
  <c r="G56" i="1"/>
  <c r="F56" i="1"/>
  <c r="F36" i="1"/>
  <c r="F86" i="1"/>
  <c r="H87" i="1" l="1"/>
  <c r="G87" i="1"/>
  <c r="M61" i="1"/>
  <c r="L61" i="1"/>
  <c r="H61" i="1"/>
  <c r="G61" i="1"/>
  <c r="F61" i="1"/>
  <c r="E100" i="2" l="1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18" i="2"/>
  <c r="E22" i="2"/>
  <c r="E26" i="2"/>
  <c r="E30" i="2"/>
  <c r="E34" i="2"/>
  <c r="E38" i="2"/>
  <c r="E42" i="2"/>
  <c r="E46" i="2"/>
  <c r="E50" i="2"/>
  <c r="E54" i="2"/>
  <c r="E58" i="2"/>
  <c r="E62" i="2"/>
  <c r="E66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7" i="2"/>
  <c r="F99" i="2"/>
  <c r="F101" i="2"/>
  <c r="F100" i="2" l="1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G11" i="1" l="1"/>
  <c r="G13" i="1"/>
  <c r="G14" i="1"/>
  <c r="G15" i="1"/>
  <c r="G16" i="1"/>
  <c r="G17" i="1"/>
  <c r="G85" i="1"/>
  <c r="G18" i="1"/>
  <c r="G19" i="1"/>
  <c r="G20" i="1"/>
  <c r="G21" i="1"/>
  <c r="G22" i="1"/>
  <c r="G23" i="1"/>
  <c r="G24" i="1"/>
  <c r="G25" i="1"/>
  <c r="G27" i="1"/>
  <c r="G79" i="1"/>
  <c r="G28" i="1"/>
  <c r="G26" i="1"/>
  <c r="G29" i="1"/>
  <c r="G86" i="1"/>
  <c r="G30" i="1"/>
  <c r="G32" i="1"/>
  <c r="G33" i="1"/>
  <c r="G34" i="1"/>
  <c r="G35" i="1"/>
  <c r="G36" i="1"/>
  <c r="G37" i="1"/>
  <c r="G39" i="1"/>
  <c r="G40" i="1"/>
  <c r="G42" i="1"/>
  <c r="G43" i="1"/>
  <c r="G46" i="1"/>
  <c r="G48" i="1"/>
  <c r="G49" i="1"/>
  <c r="G53" i="1"/>
  <c r="G54" i="1"/>
  <c r="G58" i="1"/>
  <c r="G59" i="1"/>
  <c r="G60" i="1"/>
  <c r="G63" i="1"/>
  <c r="G64" i="1"/>
  <c r="G67" i="1"/>
  <c r="G68" i="1"/>
  <c r="G69" i="1"/>
  <c r="G70" i="1"/>
  <c r="G71" i="1"/>
  <c r="G88" i="1"/>
  <c r="G72" i="1"/>
  <c r="G74" i="1"/>
  <c r="G75" i="1"/>
  <c r="G76" i="1"/>
  <c r="G77" i="1"/>
  <c r="G78" i="1"/>
  <c r="G80" i="1"/>
  <c r="G81" i="1"/>
  <c r="G82" i="1"/>
  <c r="G83" i="1"/>
  <c r="G84" i="1"/>
  <c r="G90" i="1"/>
  <c r="G91" i="1"/>
  <c r="G93" i="1"/>
  <c r="G94" i="1"/>
  <c r="G95" i="1"/>
  <c r="G96" i="1"/>
  <c r="M72" i="1"/>
  <c r="J72" i="1"/>
  <c r="J63" i="1"/>
  <c r="M22" i="1"/>
  <c r="J22" i="1"/>
  <c r="H22" i="1"/>
  <c r="F22" i="1"/>
  <c r="L79" i="1"/>
  <c r="M79" i="1"/>
  <c r="G83" i="2" l="1"/>
  <c r="L26" i="1" l="1"/>
  <c r="F85" i="1"/>
  <c r="F91" i="1"/>
  <c r="H11" i="1" l="1"/>
  <c r="F29" i="1"/>
  <c r="M33" i="1" l="1"/>
  <c r="M26" i="1" l="1"/>
  <c r="H26" i="1"/>
  <c r="F26" i="1"/>
  <c r="F72" i="1"/>
  <c r="M18" i="1"/>
  <c r="F18" i="1"/>
  <c r="M95" i="1"/>
  <c r="F95" i="1"/>
  <c r="M70" i="1"/>
  <c r="F70" i="1"/>
  <c r="M60" i="1"/>
  <c r="F60" i="1"/>
  <c r="F54" i="1"/>
  <c r="M50" i="1"/>
  <c r="F50" i="1"/>
  <c r="M46" i="1"/>
  <c r="F46" i="1"/>
  <c r="M42" i="1"/>
  <c r="F42" i="1"/>
  <c r="M39" i="1"/>
  <c r="M14" i="1"/>
  <c r="M15" i="1"/>
  <c r="F15" i="1"/>
  <c r="M16" i="1"/>
  <c r="F16" i="1"/>
  <c r="M17" i="1"/>
  <c r="M77" i="1"/>
  <c r="F77" i="1"/>
  <c r="M69" i="1"/>
  <c r="M67" i="1"/>
  <c r="F67" i="1"/>
  <c r="M48" i="1"/>
  <c r="M34" i="1"/>
  <c r="F28" i="1"/>
  <c r="M23" i="1"/>
  <c r="F23" i="1"/>
  <c r="M85" i="1"/>
  <c r="L85" i="1"/>
  <c r="M59" i="1"/>
  <c r="F59" i="1"/>
  <c r="M49" i="1"/>
  <c r="F49" i="1"/>
  <c r="M80" i="1"/>
  <c r="F80" i="1"/>
  <c r="M40" i="1"/>
  <c r="F40" i="1"/>
  <c r="M21" i="1"/>
  <c r="F21" i="1"/>
  <c r="M36" i="1"/>
  <c r="M27" i="1"/>
  <c r="F27" i="1"/>
  <c r="M84" i="1"/>
  <c r="F84" i="1"/>
  <c r="M68" i="1"/>
  <c r="L68" i="1"/>
  <c r="F68" i="1"/>
  <c r="M43" i="1"/>
  <c r="F43" i="1"/>
  <c r="M32" i="1"/>
  <c r="F32" i="1"/>
  <c r="M24" i="1"/>
  <c r="F24" i="1"/>
  <c r="M91" i="1"/>
  <c r="H91" i="1"/>
  <c r="M35" i="1"/>
  <c r="F35" i="1"/>
  <c r="M86" i="1"/>
  <c r="L86" i="1"/>
  <c r="M25" i="1"/>
  <c r="F25" i="1"/>
  <c r="F78" i="1"/>
  <c r="H72" i="1" l="1"/>
  <c r="J18" i="1"/>
  <c r="H18" i="1"/>
  <c r="J17" i="1"/>
  <c r="H17" i="1"/>
  <c r="F17" i="1"/>
  <c r="J95" i="1"/>
  <c r="H95" i="1"/>
  <c r="M94" i="1"/>
  <c r="J94" i="1"/>
  <c r="H94" i="1"/>
  <c r="F94" i="1"/>
  <c r="M93" i="1"/>
  <c r="J93" i="1"/>
  <c r="H93" i="1"/>
  <c r="F93" i="1"/>
  <c r="M90" i="1"/>
  <c r="J90" i="1"/>
  <c r="H90" i="1"/>
  <c r="F90" i="1"/>
  <c r="M29" i="1"/>
  <c r="J29" i="1"/>
  <c r="H29" i="1"/>
  <c r="M83" i="1"/>
  <c r="J83" i="1"/>
  <c r="H83" i="1"/>
  <c r="F83" i="1"/>
  <c r="M75" i="1"/>
  <c r="J75" i="1"/>
  <c r="H75" i="1"/>
  <c r="J70" i="1"/>
  <c r="H70" i="1"/>
  <c r="M88" i="1"/>
  <c r="L88" i="1"/>
  <c r="H88" i="1"/>
  <c r="F88" i="1"/>
  <c r="M64" i="1"/>
  <c r="J64" i="1"/>
  <c r="H64" i="1"/>
  <c r="F64" i="1"/>
  <c r="J60" i="1"/>
  <c r="H60" i="1"/>
  <c r="M54" i="1"/>
  <c r="J54" i="1"/>
  <c r="H54" i="1"/>
  <c r="H50" i="1"/>
  <c r="J46" i="1"/>
  <c r="H46" i="1"/>
  <c r="H42" i="1"/>
  <c r="J39" i="1"/>
  <c r="H39" i="1"/>
  <c r="M30" i="1"/>
  <c r="J30" i="1"/>
  <c r="H30" i="1"/>
  <c r="F30" i="1"/>
  <c r="J14" i="1"/>
  <c r="H14" i="1"/>
  <c r="J15" i="1"/>
  <c r="H15" i="1"/>
  <c r="J16" i="1"/>
  <c r="H16" i="1"/>
  <c r="J77" i="1"/>
  <c r="H77" i="1"/>
  <c r="M76" i="1"/>
  <c r="J76" i="1"/>
  <c r="H76" i="1"/>
  <c r="M74" i="1"/>
  <c r="J74" i="1"/>
  <c r="H74" i="1"/>
  <c r="F74" i="1"/>
  <c r="M71" i="1"/>
  <c r="J71" i="1"/>
  <c r="H71" i="1"/>
  <c r="F71" i="1"/>
  <c r="J69" i="1"/>
  <c r="H69" i="1"/>
  <c r="J67" i="1"/>
  <c r="H67" i="1"/>
  <c r="H58" i="1"/>
  <c r="M58" i="1"/>
  <c r="J58" i="1"/>
  <c r="M53" i="1"/>
  <c r="J53" i="1"/>
  <c r="H53" i="1"/>
  <c r="J48" i="1"/>
  <c r="H48" i="1"/>
  <c r="J34" i="1"/>
  <c r="H34" i="1"/>
  <c r="F34" i="1"/>
  <c r="M37" i="1"/>
  <c r="J37" i="1"/>
  <c r="H37" i="1"/>
  <c r="M28" i="1"/>
  <c r="J28" i="1"/>
  <c r="H28" i="1"/>
  <c r="J23" i="1"/>
  <c r="H23" i="1"/>
  <c r="M13" i="1"/>
  <c r="J13" i="1"/>
  <c r="H13" i="1"/>
  <c r="F13" i="1"/>
  <c r="M20" i="1"/>
  <c r="J20" i="1"/>
  <c r="H20" i="1"/>
  <c r="F20" i="1"/>
  <c r="H85" i="1"/>
  <c r="J59" i="1"/>
  <c r="H59" i="1"/>
  <c r="J49" i="1"/>
  <c r="H49" i="1"/>
  <c r="J80" i="1"/>
  <c r="H80" i="1"/>
  <c r="J40" i="1"/>
  <c r="H40" i="1"/>
  <c r="H21" i="1"/>
  <c r="M19" i="1" l="1"/>
  <c r="J19" i="1"/>
  <c r="H19" i="1"/>
  <c r="F19" i="1"/>
  <c r="H63" i="1"/>
  <c r="F63" i="1"/>
  <c r="J36" i="1"/>
  <c r="H36" i="1"/>
  <c r="J27" i="1"/>
  <c r="H27" i="1"/>
  <c r="M96" i="1"/>
  <c r="J96" i="1"/>
  <c r="H96" i="1"/>
  <c r="F96" i="1"/>
  <c r="J84" i="1"/>
  <c r="H84" i="1"/>
  <c r="M82" i="1"/>
  <c r="H82" i="1"/>
  <c r="F82" i="1"/>
  <c r="M81" i="1"/>
  <c r="L81" i="1"/>
  <c r="J81" i="1"/>
  <c r="H81" i="1"/>
  <c r="F81" i="1"/>
  <c r="J68" i="1" l="1"/>
  <c r="H68" i="1"/>
  <c r="J43" i="1"/>
  <c r="H43" i="1"/>
  <c r="J32" i="1"/>
  <c r="H32" i="1"/>
  <c r="J24" i="1" l="1"/>
  <c r="H24" i="1"/>
  <c r="H35" i="1"/>
  <c r="H86" i="1"/>
  <c r="J25" i="1"/>
  <c r="H25" i="1"/>
  <c r="H79" i="1"/>
  <c r="F79" i="1"/>
  <c r="J78" i="1"/>
  <c r="H78" i="1"/>
  <c r="J33" i="1" l="1"/>
  <c r="H33" i="1"/>
  <c r="M11" i="1"/>
  <c r="I116" i="2" l="1"/>
  <c r="I114" i="2"/>
  <c r="E112" i="2"/>
  <c r="H108" i="2"/>
  <c r="D107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I118" i="2" l="1"/>
</calcChain>
</file>

<file path=xl/sharedStrings.xml><?xml version="1.0" encoding="utf-8"?>
<sst xmlns="http://schemas.openxmlformats.org/spreadsheetml/2006/main" count="646" uniqueCount="149">
  <si>
    <t>TRIBUNAL DE ARBITRAJE Y ESCALAFON DEL ESTADO DE JALISCO</t>
  </si>
  <si>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</si>
  <si>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</si>
  <si>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</si>
  <si>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</si>
  <si>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</si>
  <si>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</si>
  <si>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</si>
  <si>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</si>
  <si>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</si>
  <si>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DESCRIPCION</t>
  </si>
  <si>
    <t>DEPENDENCIA</t>
  </si>
  <si>
    <t>C</t>
  </si>
  <si>
    <t xml:space="preserve">MAGISTRADO                                                  </t>
  </si>
  <si>
    <t>TRIBUNAL DE ARBITRAJE Y ESCALAFON</t>
  </si>
  <si>
    <t xml:space="preserve">AGRAZ CAMARENA MARTHA                                       </t>
  </si>
  <si>
    <t xml:space="preserve">AUXILIAR DE INSTRUCCION                                     </t>
  </si>
  <si>
    <t>B</t>
  </si>
  <si>
    <t xml:space="preserve">OFICIAL MAYOR NOTIFICADOR                                   </t>
  </si>
  <si>
    <t xml:space="preserve">AGUILAR ALMANZAR MIGUEL ANTONIO                             </t>
  </si>
  <si>
    <t xml:space="preserve">AGUILAR GONZALEZ MARTHA PATRICIA                            </t>
  </si>
  <si>
    <t xml:space="preserve">SECRETARIA DEL TRIBUNAL                                     </t>
  </si>
  <si>
    <t xml:space="preserve">ALONSO RODRIGUEZ MARIA DEL ROSARIO                          </t>
  </si>
  <si>
    <t xml:space="preserve">ALVAREZ CARDENAS CECILIA ESTELA                             </t>
  </si>
  <si>
    <t xml:space="preserve">AUXILIAR ADMINISTRATIVO DEL TRIBUNAL                        </t>
  </si>
  <si>
    <t xml:space="preserve">ANDRADE VAZQUEZ VIRIDIANA                                   </t>
  </si>
  <si>
    <t xml:space="preserve">SECRETARIO EJECUTOR                                         </t>
  </si>
  <si>
    <t xml:space="preserve">ARP LAZO JOHANNA ELIZABETH                                  </t>
  </si>
  <si>
    <t xml:space="preserve">AVIÑA ORDAZ MARIA HORTENCIA                                 </t>
  </si>
  <si>
    <t xml:space="preserve">SECRETARIO DE ESTUDIO Y CUENTA                              </t>
  </si>
  <si>
    <t xml:space="preserve">BARRERA MEJIA JAIME                                         </t>
  </si>
  <si>
    <t xml:space="preserve">MENSAJERO DEL TRIBUNAL                                      </t>
  </si>
  <si>
    <t xml:space="preserve">BRISEÑO NAVARRETE GABRIEL                                   </t>
  </si>
  <si>
    <t xml:space="preserve">BRIZUELA MEDINA ADRIANA                                     </t>
  </si>
  <si>
    <t xml:space="preserve">CAMACHO PARRA SILVIA ARACELI                                </t>
  </si>
  <si>
    <t xml:space="preserve">CASTAÑEDA VIZCAINO MARIA DEL SOCORRO                        </t>
  </si>
  <si>
    <t xml:space="preserve">DAVILA RAMOS LIVIER NOHEMI                                  </t>
  </si>
  <si>
    <t xml:space="preserve">DE LA TORRE CARLOS JOSE SERGIO                              </t>
  </si>
  <si>
    <t xml:space="preserve">ESPARZA GOMEZ ANTONIO ULISES                                </t>
  </si>
  <si>
    <t xml:space="preserve">FERNANDEZ ARELLANO DIANA KARINA                             </t>
  </si>
  <si>
    <t xml:space="preserve">SECRETARIO GENERAL DEL TRIBUNAL                             </t>
  </si>
  <si>
    <t xml:space="preserve">FIGUEROA RENDON ROCIO DEL CARMEN                            </t>
  </si>
  <si>
    <t xml:space="preserve">FLORES RODRIGUEZ MARIA ANGELINA                             </t>
  </si>
  <si>
    <t xml:space="preserve">GALAVIZ VALLEJO CLAUDIA ELIZABETH                           </t>
  </si>
  <si>
    <t xml:space="preserve">GARCIA ALVARADO MARIA TERESA                                </t>
  </si>
  <si>
    <t xml:space="preserve">GARCIA MARTINEZ MA DE LOS ANGELES                           </t>
  </si>
  <si>
    <t xml:space="preserve">GARCIA RAMOS CLAUDIA                                        </t>
  </si>
  <si>
    <t xml:space="preserve">GARCIA SIORDIA MARIA CRISTINA                               </t>
  </si>
  <si>
    <t xml:space="preserve">GOMEZ LOPEZ OSIRIS                                          </t>
  </si>
  <si>
    <t xml:space="preserve">GONZALEZ ALVARADO JESUS VALENTE                             </t>
  </si>
  <si>
    <t xml:space="preserve">GONZALEZ ANTONIO ALEJANDRO                                  </t>
  </si>
  <si>
    <t xml:space="preserve">GONZALEZ HERNANDEZ IRMA                                     </t>
  </si>
  <si>
    <t xml:space="preserve">GUERRERO LOZANO CYNTHIA LIZBETH                             </t>
  </si>
  <si>
    <t xml:space="preserve">HERNANDEZ GARCIA MARIA CONCEPCION                           </t>
  </si>
  <si>
    <t xml:space="preserve">LARIOS GARCIA RUBEN DARIO                                   </t>
  </si>
  <si>
    <t xml:space="preserve">LARIOS RAMOS HECTOR ENRIQUE                                 </t>
  </si>
  <si>
    <t xml:space="preserve">LARIOS SANDOVAL LAURA CONSUELO                              </t>
  </si>
  <si>
    <t xml:space="preserve">JEFE ADMINISTRATIVO DEL TRIBUNAL                            </t>
  </si>
  <si>
    <t xml:space="preserve">LOPEZ RUIZ JOSE JUAN                                        </t>
  </si>
  <si>
    <t xml:space="preserve">MADRIGAL MALDONADO MARLENE                                  </t>
  </si>
  <si>
    <t xml:space="preserve">MANJARREZ RODRIGUEZ IGNACIO                                 </t>
  </si>
  <si>
    <t xml:space="preserve">MARTIN ACOSTA KARLA GEORGINA                                </t>
  </si>
  <si>
    <t xml:space="preserve">MARTIN DE LA MORA MARIA CELINA                              </t>
  </si>
  <si>
    <t xml:space="preserve">MEDA HERNANDEZ TAMARA METZERI                               </t>
  </si>
  <si>
    <t xml:space="preserve">MENDOZA CARDENAS PAULINA                                    </t>
  </si>
  <si>
    <t xml:space="preserve">AUXILIAR DE INTENDENCIA DEL TRIBUNAL                        </t>
  </si>
  <si>
    <t xml:space="preserve">NAVARRO JIMENEZ JESUS ARMANDO                               </t>
  </si>
  <si>
    <t xml:space="preserve">OROZCO GONZALEZ GREGORIA SONIA                              </t>
  </si>
  <si>
    <t xml:space="preserve">ORTEGA MENDEZ ADRIANA                                       </t>
  </si>
  <si>
    <t xml:space="preserve">PEÑA FLORES CLAUDIA ARACELI                                 </t>
  </si>
  <si>
    <t xml:space="preserve">PEREZ FRIAS VICTORIA                                        </t>
  </si>
  <si>
    <t>PINEDA OCHOA MONICA LETICIA</t>
  </si>
  <si>
    <t xml:space="preserve">RAMIREZ GALLEGOS MARTHA ISELA                               </t>
  </si>
  <si>
    <t xml:space="preserve">RAMIREZ MUÑOZ SARA VERONICA                                 </t>
  </si>
  <si>
    <t xml:space="preserve">RAMIREZ RODRIGUEZ SALVADOR                                  </t>
  </si>
  <si>
    <t xml:space="preserve">INSPECTOR                                                   </t>
  </si>
  <si>
    <t xml:space="preserve">REA LOZANO ATZINTLI QUETZALLI                               </t>
  </si>
  <si>
    <t xml:space="preserve">RENTERIA ESQUEDA MONICA PAULINA                             </t>
  </si>
  <si>
    <t xml:space="preserve">REYNOSO OROZCO DANIELA                                      </t>
  </si>
  <si>
    <t xml:space="preserve">ROBLES CANDELARIO PATRICIA                                  </t>
  </si>
  <si>
    <t xml:space="preserve">RODRIGUEZ AGUILERA CONSUELO                                 </t>
  </si>
  <si>
    <t xml:space="preserve">RODRIGUEZ RODRIGUEZ MARIA EUGENIA                           </t>
  </si>
  <si>
    <t xml:space="preserve">RODRIGUEZ ZAVALA MARTHA PATRICIA                            </t>
  </si>
  <si>
    <t xml:space="preserve">SAINZ FRANCO AURORA                                         </t>
  </si>
  <si>
    <t xml:space="preserve">SANCHEZ SANCHEZ ALMA MINERVA                                </t>
  </si>
  <si>
    <t xml:space="preserve">SANCHEZ SANCHEZ GLADYS                                      </t>
  </si>
  <si>
    <t xml:space="preserve">TORRES CORTES HILDA MAGALY                                  </t>
  </si>
  <si>
    <t xml:space="preserve">TORRES MIRAMONTES MARIA DEL ROSARIO                         </t>
  </si>
  <si>
    <t xml:space="preserve">VALDIVIA SANDOVAL ANA ELIZABETH                             </t>
  </si>
  <si>
    <t xml:space="preserve">VALLE SALDAÑA LILIA DEL CARMEN                              </t>
  </si>
  <si>
    <t xml:space="preserve">VALLEJO GONZALEZ ILIANA JUDITH                              </t>
  </si>
  <si>
    <t xml:space="preserve">VILLAVERDE GUTIERREZ CLAUDIA IVETTE                         </t>
  </si>
  <si>
    <t xml:space="preserve">VILLEGAS SAUCEDO PAMELA MAGALY                              </t>
  </si>
  <si>
    <t xml:space="preserve">WITT FRANCO WENDY                                           </t>
  </si>
  <si>
    <t xml:space="preserve">WITT GUTIERREZ JUAN FERNANDO                                </t>
  </si>
  <si>
    <t>ACTIVO, VACANTE O LITIGIO</t>
  </si>
  <si>
    <t>CATEGORIA</t>
  </si>
  <si>
    <t>CUOTAS PARA VIVIENDA 3%</t>
  </si>
  <si>
    <t>CUOTAS AL SEDAR 2%</t>
  </si>
  <si>
    <t>DESPENSA 1712</t>
  </si>
  <si>
    <t>TRANSPORTE 1713</t>
  </si>
  <si>
    <t>ACTIVO</t>
  </si>
  <si>
    <t>TOTAL MUJERES</t>
  </si>
  <si>
    <t xml:space="preserve">PLAZAS VACANTES </t>
  </si>
  <si>
    <t>TOTAL HOMBRES</t>
  </si>
  <si>
    <t>PLAZAS OCUPADAS</t>
  </si>
  <si>
    <t>TOTAL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</si>
  <si>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</si>
  <si>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</si>
  <si>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</si>
  <si>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</si>
  <si>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</si>
  <si>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</si>
  <si>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</si>
  <si>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</si>
  <si>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 xml:space="preserve">TOTAL  PLAZAS </t>
  </si>
  <si>
    <t>FONDO DE PENSIONES</t>
  </si>
  <si>
    <t>LOPEZ GUILLEN FRANCISCO JAVIER</t>
  </si>
  <si>
    <t>B/C</t>
  </si>
  <si>
    <t>TECNICO ESPECIALIZADO</t>
  </si>
  <si>
    <t>TRIBUNAL DE ARBITRAJE Y ESCALAFÓN</t>
  </si>
  <si>
    <t>AUXILIAR DE INTENDENCIA DEL TRIBUNAL</t>
  </si>
  <si>
    <t>AUXILIAR DE INSTRUCCIÓN</t>
  </si>
  <si>
    <t xml:space="preserve">SOTO CICILIANO LAURA </t>
  </si>
  <si>
    <t>SECRETARIA DEL TRIBUNAL</t>
  </si>
  <si>
    <t>OFICIAL MAYOR NOTIFICADOR</t>
  </si>
  <si>
    <t>COORDINADOR DE ANALISIS Y SEGUIMIENTO</t>
  </si>
  <si>
    <t>LOPEZ GARCIA EDGAR RIGOBERTO</t>
  </si>
  <si>
    <t>BARAJAS BANDERAS JOSE ROBERTO</t>
  </si>
  <si>
    <t xml:space="preserve"> APORTACION A PENSIONES PATRON</t>
  </si>
  <si>
    <t>H</t>
  </si>
  <si>
    <t>M</t>
  </si>
  <si>
    <t>GUZMAN ROBLEDO NOEMI FABIOLA</t>
  </si>
  <si>
    <t>GALVAN BASULTO ROSA MAYELA</t>
  </si>
  <si>
    <t>RIVERA ROMO TERESA MAGDALENA</t>
  </si>
  <si>
    <t>ALVARADO FAJARDO FELIPE GABINO</t>
  </si>
  <si>
    <t>MAGISTRADO</t>
  </si>
  <si>
    <t>SALAZAR RIVAS VICTOR</t>
  </si>
  <si>
    <t xml:space="preserve">MAGISTRADO PRESIDENTE                                                  </t>
  </si>
  <si>
    <t>AVILA GUTIERREZ LAURA ANGELICA</t>
  </si>
  <si>
    <t>VACANTE</t>
  </si>
  <si>
    <t>MARTIN DEL CAMPO LOPEZ YESHICA ILIANA</t>
  </si>
  <si>
    <t>REMUNERACIONES  AGOSTO  2019</t>
  </si>
  <si>
    <t>REMUNERACIONES DEL MES DE AGOSTO DE 2019</t>
  </si>
  <si>
    <t>PRIMA VAC</t>
  </si>
  <si>
    <t>NIÑO BANDERAS CARLOS FRANCISCO</t>
  </si>
  <si>
    <t>CAMPOS PEREZ JOSE LUIS SANTIAGO</t>
  </si>
  <si>
    <t>AGOSTO</t>
  </si>
  <si>
    <t>LITIGIO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</si>
</sst>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08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10" xfId="0" applyBorder="1"/>
    <xf numFmtId="4" fontId="0" fillId="4" borderId="5" xfId="0" applyNumberFormat="1" applyFill="1" applyBorder="1"/>
    <xf numFmtId="0" fontId="3" fillId="0" borderId="0" xfId="0" applyFont="1"/>
    <xf numFmtId="4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4" fillId="0" borderId="12" xfId="0" applyFont="1" applyBorder="1"/>
    <xf numFmtId="0" fontId="0" fillId="0" borderId="0" xfId="0" applyAlignment="1">
      <alignment horizontal="left"/>
    </xf>
    <xf numFmtId="17" fontId="7" fillId="0" borderId="0" xfId="1" applyNumberFormat="1" applyFont="1" applyFill="1" applyBorder="1"/>
    <xf numFmtId="4" fontId="0" fillId="4" borderId="20" xfId="0" applyNumberFormat="1" applyFill="1" applyBorder="1" applyAlignment="1">
      <alignment horizontal="right"/>
    </xf>
    <xf numFmtId="0" fontId="0" fillId="5" borderId="12" xfId="0" applyFont="1" applyFill="1" applyBorder="1"/>
    <xf numFmtId="0" fontId="3" fillId="5" borderId="12" xfId="0" applyFont="1" applyFill="1" applyBorder="1" applyAlignment="1">
      <alignment horizontal="center" wrapText="1"/>
    </xf>
    <xf numFmtId="9" fontId="3" fillId="5" borderId="12" xfId="0" applyNumberFormat="1" applyFont="1" applyFill="1" applyBorder="1" applyAlignment="1">
      <alignment horizontal="center" wrapText="1"/>
    </xf>
    <xf numFmtId="0" fontId="11" fillId="3" borderId="1" xfId="2" applyFont="1"/>
    <xf numFmtId="0" fontId="9" fillId="0" borderId="12" xfId="0" applyFont="1" applyBorder="1"/>
    <xf numFmtId="0" fontId="0" fillId="4" borderId="0" xfId="0" applyFill="1"/>
    <xf numFmtId="0" fontId="12" fillId="4" borderId="0" xfId="0" applyFont="1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" fontId="13" fillId="4" borderId="5" xfId="0" applyNumberFormat="1" applyFont="1" applyFill="1" applyBorder="1"/>
    <xf numFmtId="2" fontId="0" fillId="4" borderId="5" xfId="0" applyNumberFormat="1" applyFill="1" applyBorder="1"/>
    <xf numFmtId="4" fontId="0" fillId="4" borderId="20" xfId="0" applyNumberFormat="1" applyFill="1" applyBorder="1"/>
    <xf numFmtId="0" fontId="0" fillId="4" borderId="5" xfId="0" applyFill="1" applyBorder="1"/>
    <xf numFmtId="0" fontId="0" fillId="4" borderId="20" xfId="0" applyFill="1" applyBorder="1" applyAlignment="1">
      <alignment horizontal="center"/>
    </xf>
    <xf numFmtId="4" fontId="0" fillId="4" borderId="0" xfId="0" applyNumberFormat="1" applyFill="1" applyBorder="1"/>
    <xf numFmtId="0" fontId="13" fillId="4" borderId="5" xfId="0" applyFont="1" applyFill="1" applyBorder="1"/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/>
    <xf numFmtId="0" fontId="11" fillId="3" borderId="22" xfId="2" applyFont="1" applyBorder="1" applyAlignment="1">
      <alignment horizontal="center" vertical="center" wrapText="1"/>
    </xf>
    <xf numFmtId="0" fontId="11" fillId="3" borderId="23" xfId="2" applyFont="1" applyBorder="1" applyAlignment="1">
      <alignment horizontal="center" vertical="center" wrapText="1"/>
    </xf>
    <xf numFmtId="0" fontId="11" fillId="3" borderId="24" xfId="2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/>
    <xf numFmtId="0" fontId="13" fillId="4" borderId="8" xfId="0" applyFont="1" applyFill="1" applyBorder="1"/>
    <xf numFmtId="0" fontId="0" fillId="4" borderId="9" xfId="0" applyFill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" borderId="23" xfId="2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5" xfId="0" applyBorder="1"/>
    <xf numFmtId="0" fontId="11" fillId="4" borderId="21" xfId="2" applyFont="1" applyFill="1" applyBorder="1" applyAlignment="1">
      <alignment wrapText="1"/>
    </xf>
    <xf numFmtId="0" fontId="11" fillId="4" borderId="1" xfId="2" applyFont="1" applyFill="1"/>
    <xf numFmtId="0" fontId="0" fillId="6" borderId="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5" xfId="0" applyFill="1" applyBorder="1"/>
    <xf numFmtId="4" fontId="0" fillId="6" borderId="5" xfId="0" applyNumberFormat="1" applyFill="1" applyBorder="1"/>
    <xf numFmtId="4" fontId="0" fillId="6" borderId="18" xfId="0" applyNumberFormat="1" applyFill="1" applyBorder="1" applyAlignment="1">
      <alignment horizontal="right"/>
    </xf>
    <xf numFmtId="0" fontId="0" fillId="6" borderId="0" xfId="0" applyFill="1"/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" fontId="0" fillId="6" borderId="5" xfId="0" applyNumberFormat="1" applyFill="1" applyBorder="1" applyAlignment="1">
      <alignment horizontal="right"/>
    </xf>
    <xf numFmtId="0" fontId="0" fillId="6" borderId="5" xfId="0" applyFont="1" applyFill="1" applyBorder="1" applyAlignment="1">
      <alignment horizontal="center"/>
    </xf>
    <xf numFmtId="4" fontId="0" fillId="6" borderId="5" xfId="0" applyNumberFormat="1" applyFont="1" applyFill="1" applyBorder="1" applyAlignment="1">
      <alignment horizontal="right"/>
    </xf>
    <xf numFmtId="2" fontId="0" fillId="6" borderId="5" xfId="0" applyNumberFormat="1" applyFill="1" applyBorder="1"/>
    <xf numFmtId="4" fontId="8" fillId="6" borderId="5" xfId="0" applyNumberFormat="1" applyFont="1" applyFill="1" applyBorder="1" applyAlignment="1">
      <alignment horizontal="right"/>
    </xf>
    <xf numFmtId="0" fontId="13" fillId="6" borderId="5" xfId="0" applyFont="1" applyFill="1" applyBorder="1"/>
    <xf numFmtId="4" fontId="13" fillId="6" borderId="5" xfId="0" applyNumberFormat="1" applyFont="1" applyFill="1" applyBorder="1"/>
    <xf numFmtId="0" fontId="0" fillId="4" borderId="5" xfId="0" applyNumberForma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4" fillId="4" borderId="5" xfId="0" applyFont="1" applyFill="1" applyBorder="1"/>
    <xf numFmtId="0" fontId="14" fillId="4" borderId="5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 vertical="center"/>
    </xf>
  </cellXfs>
  <cellStyles count="3">
    <cellStyle name="Entrada" xfId="2" builtinId="20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128452</xdr:colOff>
      <xdr:row>1</xdr:row>
      <xdr:rowOff>38747</xdr:rowOff>
    </xdr:from>
    <xdr:to>
      <xdr:col>2</xdr:col>
      <xdr:colOff>2516053</xdr:colOff>
      <xdr:row>5</xdr:row>
      <xdr:rowOff>173684</xdr:rowOff>
    </xdr:to>
    <xdr:pic>
      <xdr:nvPicPr>
        <xdr:cNvPr id="2" name="1 Imagen" descr="Logo-Tribunal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439" y="232476"/>
          <a:ext cx="2387601" cy="10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1628775</xdr:colOff>
      <xdr:row>5</xdr:row>
      <xdr:rowOff>154099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62275" cy="9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W575"/>
  <sheetViews>
    <sheetView tabSelected="1" zoomScale="136" zoomScaleNormal="136" workbookViewId="0">
      <selection activeCell="C102" sqref="C102"/>
    </sheetView>
  </sheetViews>
  <sheetFormatPr baseColWidth="10" defaultRowHeight="15" x14ac:dyDescent="0.25"/>
  <cols>
    <col min="1" max="1" width="5.7109375" customWidth="1"/>
    <col min="2" max="2" width="6" style="57" customWidth="1"/>
    <col min="3" max="3" width="43.28515625" customWidth="1"/>
    <col min="4" max="4" width="4.42578125" style="57" customWidth="1"/>
    <col min="5" max="5" width="8.42578125" style="51" customWidth="1"/>
    <col min="6" max="6" width="11.42578125" customWidth="1"/>
    <col min="7" max="7" width="14.42578125" customWidth="1"/>
    <col min="8" max="8" width="14.7109375" customWidth="1"/>
    <col min="9" max="9" width="11.42578125" customWidth="1"/>
    <col min="10" max="11" width="13.5703125" customWidth="1"/>
    <col min="12" max="12" width="11.42578125" customWidth="1"/>
    <col min="13" max="13" width="13.140625" customWidth="1"/>
    <col min="14" max="14" width="40.7109375" customWidth="1"/>
    <col min="15" max="15" width="34.85546875" customWidth="1"/>
  </cols>
  <sheetData>
    <row r="1" spans="1:829" x14ac:dyDescent="0.25">
      <c r="B1" s="55"/>
      <c r="C1" s="65"/>
      <c r="D1" s="63"/>
    </row>
    <row r="2" spans="1:829" x14ac:dyDescent="0.25">
      <c r="B2" s="55"/>
      <c r="C2" s="18"/>
      <c r="D2" s="63"/>
    </row>
    <row r="3" spans="1:829" ht="15.75" x14ac:dyDescent="0.25">
      <c r="B3" s="55"/>
      <c r="C3" s="27"/>
      <c r="D3" s="49"/>
    </row>
    <row r="4" spans="1:829" x14ac:dyDescent="0.25">
      <c r="B4" s="55"/>
      <c r="C4" s="18"/>
      <c r="D4" s="63"/>
      <c r="F4" s="15"/>
      <c r="G4" s="16"/>
      <c r="H4" s="16"/>
      <c r="I4" s="16"/>
      <c r="J4" s="16"/>
      <c r="K4" s="16"/>
      <c r="L4" s="16"/>
      <c r="M4" s="16"/>
      <c r="N4" s="17"/>
    </row>
    <row r="5" spans="1:829" ht="23.25" x14ac:dyDescent="0.35">
      <c r="A5" s="1"/>
      <c r="B5" s="54"/>
      <c r="C5" s="19"/>
      <c r="D5" s="50"/>
      <c r="E5" s="61"/>
      <c r="F5" s="89" t="s">
        <v>0</v>
      </c>
      <c r="G5" s="90"/>
      <c r="H5" s="90"/>
      <c r="I5" s="90"/>
      <c r="J5" s="90"/>
      <c r="K5" s="90"/>
      <c r="L5" s="90"/>
      <c r="M5" s="90"/>
      <c r="N5" s="91"/>
      <c r="O5" s="1"/>
      <c r="P5" s="1"/>
    </row>
    <row r="6" spans="1:829" ht="21" x14ac:dyDescent="0.35">
      <c r="B6" s="55"/>
      <c r="C6" s="18"/>
      <c r="D6" s="63"/>
      <c r="E6" s="8"/>
      <c r="F6" s="92" t="s">
        <v>142</v>
      </c>
      <c r="G6" s="93"/>
      <c r="H6" s="93"/>
      <c r="I6" s="93"/>
      <c r="J6" s="93"/>
      <c r="K6" s="93"/>
      <c r="L6" s="93"/>
      <c r="M6" s="93"/>
      <c r="N6" s="94"/>
    </row>
    <row r="7" spans="1:829" x14ac:dyDescent="0.25">
      <c r="B7" s="55"/>
      <c r="C7" s="3"/>
      <c r="D7" s="63"/>
      <c r="E7" s="8"/>
    </row>
    <row r="8" spans="1:829" s="2" customFormat="1" x14ac:dyDescent="0.25">
      <c r="B8" s="56"/>
      <c r="D8" s="56"/>
      <c r="E8" s="62"/>
      <c r="F8" s="21"/>
      <c r="H8" s="14"/>
    </row>
    <row r="9" spans="1:829" ht="15.75" thickBot="1" x14ac:dyDescent="0.3">
      <c r="F9" s="12"/>
      <c r="G9" s="20"/>
    </row>
    <row r="10" spans="1:829" s="26" customFormat="1" ht="23.25" customHeight="1" x14ac:dyDescent="0.25">
      <c r="A10" s="42" t="s">
        <v>1</v>
      </c>
      <c r="B10" s="58" t="s">
        <v>118</v>
      </c>
      <c r="C10" s="43" t="s">
        <v>2</v>
      </c>
      <c r="D10" s="58"/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144</v>
      </c>
      <c r="L10" s="43" t="s">
        <v>9</v>
      </c>
      <c r="M10" s="43" t="s">
        <v>116</v>
      </c>
      <c r="N10" s="43" t="s">
        <v>10</v>
      </c>
      <c r="O10" s="44" t="s">
        <v>11</v>
      </c>
      <c r="P10" s="66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</row>
    <row r="11" spans="1:829" s="28" customFormat="1" x14ac:dyDescent="0.25">
      <c r="A11" s="45">
        <v>1</v>
      </c>
      <c r="B11" s="52" t="s">
        <v>12</v>
      </c>
      <c r="C11" s="35" t="s">
        <v>135</v>
      </c>
      <c r="D11" s="59" t="s">
        <v>130</v>
      </c>
      <c r="E11" s="7">
        <v>24</v>
      </c>
      <c r="F11" s="4">
        <f>27565.5*2</f>
        <v>55131</v>
      </c>
      <c r="G11" s="4">
        <f>1028.5*2</f>
        <v>2057</v>
      </c>
      <c r="H11" s="4">
        <f>728.5*2</f>
        <v>1457</v>
      </c>
      <c r="I11" s="4">
        <v>0</v>
      </c>
      <c r="J11" s="4">
        <v>0</v>
      </c>
      <c r="K11" s="4"/>
      <c r="L11" s="4">
        <f>6679.72*2</f>
        <v>13359.44</v>
      </c>
      <c r="M11" s="4">
        <f>3170.03*2</f>
        <v>6340.06</v>
      </c>
      <c r="N11" s="35" t="s">
        <v>13</v>
      </c>
      <c r="O11" s="46" t="s">
        <v>14</v>
      </c>
    </row>
    <row r="12" spans="1:829" s="28" customFormat="1" x14ac:dyDescent="0.25">
      <c r="A12" s="45">
        <v>2</v>
      </c>
      <c r="B12" s="52" t="s">
        <v>12</v>
      </c>
      <c r="C12" s="35" t="s">
        <v>15</v>
      </c>
      <c r="D12" s="59" t="s">
        <v>131</v>
      </c>
      <c r="E12" s="7">
        <v>17</v>
      </c>
      <c r="F12" s="4">
        <f>12864.5*2</f>
        <v>25729</v>
      </c>
      <c r="G12" s="4">
        <f>643*2</f>
        <v>1286</v>
      </c>
      <c r="H12" s="4">
        <f>428.5*2</f>
        <v>857</v>
      </c>
      <c r="I12" s="4">
        <v>0</v>
      </c>
      <c r="J12" s="4">
        <v>0</v>
      </c>
      <c r="K12" s="4">
        <v>4288.17</v>
      </c>
      <c r="L12" s="4">
        <f>3091.92+2381.42</f>
        <v>5473.34</v>
      </c>
      <c r="M12" s="4">
        <f>1479.42*2</f>
        <v>2958.84</v>
      </c>
      <c r="N12" s="35" t="s">
        <v>29</v>
      </c>
      <c r="O12" s="46" t="s">
        <v>14</v>
      </c>
    </row>
    <row r="13" spans="1:829" s="28" customFormat="1" x14ac:dyDescent="0.25">
      <c r="A13" s="45">
        <v>3</v>
      </c>
      <c r="B13" s="52" t="s">
        <v>12</v>
      </c>
      <c r="C13" s="35" t="s">
        <v>19</v>
      </c>
      <c r="D13" s="59" t="s">
        <v>130</v>
      </c>
      <c r="E13" s="7">
        <v>16</v>
      </c>
      <c r="F13" s="4">
        <f>11416*2</f>
        <v>22832</v>
      </c>
      <c r="G13" s="4">
        <f>623.5*2</f>
        <v>1247</v>
      </c>
      <c r="H13" s="4">
        <f>389.5*2</f>
        <v>779</v>
      </c>
      <c r="I13" s="4">
        <v>0</v>
      </c>
      <c r="J13" s="4">
        <f>154.02*2</f>
        <v>308.04000000000002</v>
      </c>
      <c r="K13" s="4">
        <v>3805.33</v>
      </c>
      <c r="L13" s="4">
        <f>2063.19+2660.13</f>
        <v>4723.32</v>
      </c>
      <c r="M13" s="4">
        <f>1330.55*2</f>
        <v>2661.1</v>
      </c>
      <c r="N13" s="35" t="s">
        <v>16</v>
      </c>
      <c r="O13" s="46" t="s">
        <v>14</v>
      </c>
    </row>
    <row r="14" spans="1:829" s="28" customFormat="1" x14ac:dyDescent="0.25">
      <c r="A14" s="45">
        <v>4</v>
      </c>
      <c r="B14" s="52" t="s">
        <v>17</v>
      </c>
      <c r="C14" s="35" t="s">
        <v>20</v>
      </c>
      <c r="D14" s="59" t="s">
        <v>131</v>
      </c>
      <c r="E14" s="7">
        <v>11</v>
      </c>
      <c r="F14" s="4">
        <f>7366.5*2</f>
        <v>14733</v>
      </c>
      <c r="G14" s="4">
        <f>546.5*2</f>
        <v>1093</v>
      </c>
      <c r="H14" s="4">
        <f>339.5*2</f>
        <v>679</v>
      </c>
      <c r="I14" s="4">
        <v>0</v>
      </c>
      <c r="J14" s="4">
        <f>102.68*2</f>
        <v>205.36</v>
      </c>
      <c r="K14" s="4">
        <v>2455.5</v>
      </c>
      <c r="L14" s="4">
        <f>1146.49+1400.28</f>
        <v>2546.77</v>
      </c>
      <c r="M14" s="4">
        <f>847.15*2</f>
        <v>1694.3</v>
      </c>
      <c r="N14" s="35" t="s">
        <v>21</v>
      </c>
      <c r="O14" s="46" t="s">
        <v>14</v>
      </c>
    </row>
    <row r="15" spans="1:829" s="28" customFormat="1" x14ac:dyDescent="0.25">
      <c r="A15" s="45">
        <v>5</v>
      </c>
      <c r="B15" s="52" t="s">
        <v>17</v>
      </c>
      <c r="C15" s="35" t="s">
        <v>22</v>
      </c>
      <c r="D15" s="59" t="s">
        <v>131</v>
      </c>
      <c r="E15" s="7">
        <v>11</v>
      </c>
      <c r="F15" s="4">
        <f>7366.5*2</f>
        <v>14733</v>
      </c>
      <c r="G15" s="4">
        <f>546.5*2</f>
        <v>1093</v>
      </c>
      <c r="H15" s="4">
        <f>339.5*2</f>
        <v>679</v>
      </c>
      <c r="I15" s="4">
        <v>0</v>
      </c>
      <c r="J15" s="4">
        <f>102.68*2</f>
        <v>205.36</v>
      </c>
      <c r="K15" s="4">
        <v>2455.5</v>
      </c>
      <c r="L15" s="4">
        <f>1146.49+1400.28</f>
        <v>2546.77</v>
      </c>
      <c r="M15" s="4">
        <f>847.15*2</f>
        <v>1694.3</v>
      </c>
      <c r="N15" s="35" t="s">
        <v>21</v>
      </c>
      <c r="O15" s="46" t="s">
        <v>14</v>
      </c>
    </row>
    <row r="16" spans="1:829" s="28" customFormat="1" x14ac:dyDescent="0.25">
      <c r="A16" s="45">
        <v>6</v>
      </c>
      <c r="B16" s="52" t="s">
        <v>17</v>
      </c>
      <c r="C16" s="35" t="s">
        <v>23</v>
      </c>
      <c r="D16" s="59" t="s">
        <v>131</v>
      </c>
      <c r="E16" s="7">
        <v>11</v>
      </c>
      <c r="F16" s="4">
        <f>7366.5*2</f>
        <v>14733</v>
      </c>
      <c r="G16" s="4">
        <f>546.5*2</f>
        <v>1093</v>
      </c>
      <c r="H16" s="4">
        <f>339.5*2</f>
        <v>679</v>
      </c>
      <c r="I16" s="4">
        <v>0</v>
      </c>
      <c r="J16" s="4">
        <f>102.68*2</f>
        <v>205.36</v>
      </c>
      <c r="K16" s="4">
        <v>2455.5</v>
      </c>
      <c r="L16" s="4">
        <f>1146.49+1400.28</f>
        <v>2546.77</v>
      </c>
      <c r="M16" s="4">
        <f>847.15*2</f>
        <v>1694.3</v>
      </c>
      <c r="N16" s="35" t="s">
        <v>24</v>
      </c>
      <c r="O16" s="46" t="s">
        <v>14</v>
      </c>
    </row>
    <row r="17" spans="1:15" s="28" customFormat="1" x14ac:dyDescent="0.25">
      <c r="A17" s="45">
        <v>7</v>
      </c>
      <c r="B17" s="52" t="s">
        <v>12</v>
      </c>
      <c r="C17" s="35" t="s">
        <v>25</v>
      </c>
      <c r="D17" s="59" t="s">
        <v>131</v>
      </c>
      <c r="E17" s="7">
        <v>17</v>
      </c>
      <c r="F17" s="4">
        <f>12864.5*2</f>
        <v>25729</v>
      </c>
      <c r="G17" s="4">
        <f>643*2</f>
        <v>1286</v>
      </c>
      <c r="H17" s="4">
        <f>428.5*2</f>
        <v>857</v>
      </c>
      <c r="I17" s="4">
        <v>0</v>
      </c>
      <c r="J17" s="4">
        <f>154.02*2</f>
        <v>308.04000000000002</v>
      </c>
      <c r="K17" s="4">
        <v>4288.17</v>
      </c>
      <c r="L17" s="4">
        <f>2417.65+3128.14</f>
        <v>5545.79</v>
      </c>
      <c r="M17" s="4">
        <f>1497.13*2</f>
        <v>2994.26</v>
      </c>
      <c r="N17" s="35" t="s">
        <v>26</v>
      </c>
      <c r="O17" s="46" t="s">
        <v>14</v>
      </c>
    </row>
    <row r="18" spans="1:15" s="28" customFormat="1" x14ac:dyDescent="0.25">
      <c r="A18" s="45">
        <v>8</v>
      </c>
      <c r="B18" s="52" t="s">
        <v>17</v>
      </c>
      <c r="C18" s="35" t="s">
        <v>27</v>
      </c>
      <c r="D18" s="59" t="s">
        <v>131</v>
      </c>
      <c r="E18" s="7">
        <v>11</v>
      </c>
      <c r="F18" s="4">
        <f>7366.5*2</f>
        <v>14733</v>
      </c>
      <c r="G18" s="4">
        <f>546.5*2</f>
        <v>1093</v>
      </c>
      <c r="H18" s="4">
        <f>339.5*2</f>
        <v>679</v>
      </c>
      <c r="I18" s="4">
        <v>0</v>
      </c>
      <c r="J18" s="4">
        <f>205.36*2</f>
        <v>410.72</v>
      </c>
      <c r="K18" s="4">
        <v>2353.19</v>
      </c>
      <c r="L18" s="4">
        <f>1168.42+1400.36</f>
        <v>2568.7799999999997</v>
      </c>
      <c r="M18" s="4">
        <f>870.76*2</f>
        <v>1741.52</v>
      </c>
      <c r="N18" s="35" t="s">
        <v>21</v>
      </c>
      <c r="O18" s="46" t="s">
        <v>14</v>
      </c>
    </row>
    <row r="19" spans="1:15" s="28" customFormat="1" x14ac:dyDescent="0.25">
      <c r="A19" s="45">
        <v>9</v>
      </c>
      <c r="B19" s="52" t="s">
        <v>12</v>
      </c>
      <c r="C19" s="35" t="s">
        <v>139</v>
      </c>
      <c r="D19" s="59" t="s">
        <v>131</v>
      </c>
      <c r="E19" s="7">
        <v>16</v>
      </c>
      <c r="F19" s="4">
        <f>11416*2</f>
        <v>22832</v>
      </c>
      <c r="G19" s="4">
        <f>623.5*2</f>
        <v>1247</v>
      </c>
      <c r="H19" s="4">
        <f>389.5*2</f>
        <v>779</v>
      </c>
      <c r="I19" s="4">
        <v>0</v>
      </c>
      <c r="J19" s="4">
        <f>102.68*2</f>
        <v>205.36</v>
      </c>
      <c r="K19" s="4">
        <v>3171.11</v>
      </c>
      <c r="L19" s="4">
        <f>2051.12+2498.89</f>
        <v>4550.01</v>
      </c>
      <c r="M19" s="4">
        <f>1324.65*2</f>
        <v>2649.3</v>
      </c>
      <c r="N19" s="35" t="s">
        <v>16</v>
      </c>
      <c r="O19" s="46" t="s">
        <v>14</v>
      </c>
    </row>
    <row r="20" spans="1:15" s="28" customFormat="1" x14ac:dyDescent="0.25">
      <c r="A20" s="45">
        <v>10</v>
      </c>
      <c r="B20" s="52" t="s">
        <v>12</v>
      </c>
      <c r="C20" s="35" t="s">
        <v>28</v>
      </c>
      <c r="D20" s="59" t="s">
        <v>131</v>
      </c>
      <c r="E20" s="7">
        <v>17</v>
      </c>
      <c r="F20" s="4">
        <f>12864.5*2</f>
        <v>25729</v>
      </c>
      <c r="G20" s="4">
        <f>643*2</f>
        <v>1286</v>
      </c>
      <c r="H20" s="4">
        <f>428.5*2</f>
        <v>857</v>
      </c>
      <c r="I20" s="4">
        <v>0</v>
      </c>
      <c r="J20" s="4">
        <f>154.02*2</f>
        <v>308.04000000000002</v>
      </c>
      <c r="K20" s="4">
        <v>4288.17</v>
      </c>
      <c r="L20" s="4">
        <f>2417.65+3128.14</f>
        <v>5545.79</v>
      </c>
      <c r="M20" s="4">
        <f>1497.13*2</f>
        <v>2994.26</v>
      </c>
      <c r="N20" s="35" t="s">
        <v>29</v>
      </c>
      <c r="O20" s="46" t="s">
        <v>14</v>
      </c>
    </row>
    <row r="21" spans="1:15" s="28" customFormat="1" x14ac:dyDescent="0.25">
      <c r="A21" s="45">
        <v>11</v>
      </c>
      <c r="B21" s="59" t="s">
        <v>17</v>
      </c>
      <c r="C21" s="35" t="s">
        <v>128</v>
      </c>
      <c r="D21" s="59" t="s">
        <v>130</v>
      </c>
      <c r="E21" s="7">
        <v>11</v>
      </c>
      <c r="F21" s="4">
        <f>7366.5*2</f>
        <v>14733</v>
      </c>
      <c r="G21" s="4">
        <f>546.5*2</f>
        <v>1093</v>
      </c>
      <c r="H21" s="33">
        <f>339.5*2</f>
        <v>679</v>
      </c>
      <c r="I21" s="33">
        <v>0</v>
      </c>
      <c r="J21" s="33">
        <v>0</v>
      </c>
      <c r="K21" s="33">
        <v>2455.5</v>
      </c>
      <c r="L21" s="4">
        <f>1124.56+1378.35</f>
        <v>2502.91</v>
      </c>
      <c r="M21" s="4">
        <f>847.15*2</f>
        <v>1694.3</v>
      </c>
      <c r="N21" s="35" t="s">
        <v>124</v>
      </c>
      <c r="O21" s="46" t="s">
        <v>14</v>
      </c>
    </row>
    <row r="22" spans="1:15" s="28" customFormat="1" x14ac:dyDescent="0.25">
      <c r="A22" s="45">
        <v>12</v>
      </c>
      <c r="B22" s="52" t="s">
        <v>17</v>
      </c>
      <c r="C22" s="35" t="s">
        <v>30</v>
      </c>
      <c r="D22" s="59" t="s">
        <v>130</v>
      </c>
      <c r="E22" s="7">
        <v>9</v>
      </c>
      <c r="F22" s="4">
        <f>6843.5*2</f>
        <v>13687</v>
      </c>
      <c r="G22" s="4">
        <f>478.5*2</f>
        <v>957</v>
      </c>
      <c r="H22" s="4">
        <f>330.5*2</f>
        <v>661</v>
      </c>
      <c r="I22" s="4">
        <v>0</v>
      </c>
      <c r="J22" s="4">
        <f>256.7*2</f>
        <v>513.4</v>
      </c>
      <c r="K22" s="4">
        <v>2091.0700000000002</v>
      </c>
      <c r="L22" s="4">
        <f>1227.18+1051.23</f>
        <v>2278.41</v>
      </c>
      <c r="M22" s="4">
        <f>816.52*2</f>
        <v>1633.04</v>
      </c>
      <c r="N22" s="35" t="s">
        <v>31</v>
      </c>
      <c r="O22" s="46" t="s">
        <v>14</v>
      </c>
    </row>
    <row r="23" spans="1:15" s="28" customFormat="1" x14ac:dyDescent="0.25">
      <c r="A23" s="45">
        <v>13</v>
      </c>
      <c r="B23" s="52" t="s">
        <v>17</v>
      </c>
      <c r="C23" s="35" t="s">
        <v>32</v>
      </c>
      <c r="D23" s="59" t="s">
        <v>130</v>
      </c>
      <c r="E23" s="7">
        <v>11</v>
      </c>
      <c r="F23" s="4">
        <f>7366.5*2</f>
        <v>14733</v>
      </c>
      <c r="G23" s="4">
        <f>546.5*2</f>
        <v>1093</v>
      </c>
      <c r="H23" s="4">
        <f>339.5*2</f>
        <v>679</v>
      </c>
      <c r="I23" s="4">
        <v>0</v>
      </c>
      <c r="J23" s="4">
        <f>154.02*2</f>
        <v>308.04000000000002</v>
      </c>
      <c r="K23" s="4">
        <v>2455.5</v>
      </c>
      <c r="L23" s="4">
        <f>1157.46+1411.25</f>
        <v>2568.71</v>
      </c>
      <c r="M23" s="4">
        <f>864.86*2</f>
        <v>1729.72</v>
      </c>
      <c r="N23" s="35" t="s">
        <v>24</v>
      </c>
      <c r="O23" s="46" t="s">
        <v>14</v>
      </c>
    </row>
    <row r="24" spans="1:15" s="28" customFormat="1" x14ac:dyDescent="0.25">
      <c r="A24" s="45">
        <v>14</v>
      </c>
      <c r="B24" s="52" t="s">
        <v>17</v>
      </c>
      <c r="C24" s="35" t="s">
        <v>33</v>
      </c>
      <c r="D24" s="59" t="s">
        <v>131</v>
      </c>
      <c r="E24" s="7">
        <v>11</v>
      </c>
      <c r="F24" s="4">
        <f>7366.5*2</f>
        <v>14733</v>
      </c>
      <c r="G24" s="4">
        <f>546.5*2</f>
        <v>1093</v>
      </c>
      <c r="H24" s="4">
        <f>339.5*2</f>
        <v>679</v>
      </c>
      <c r="I24" s="4">
        <v>0</v>
      </c>
      <c r="J24" s="4">
        <f>154.02*2</f>
        <v>308.04000000000002</v>
      </c>
      <c r="K24" s="4">
        <v>2455.5</v>
      </c>
      <c r="L24" s="4">
        <f>1157.46+1411.25</f>
        <v>2568.71</v>
      </c>
      <c r="M24" s="4">
        <f>864.86*2</f>
        <v>1729.72</v>
      </c>
      <c r="N24" s="35" t="s">
        <v>18</v>
      </c>
      <c r="O24" s="46" t="s">
        <v>14</v>
      </c>
    </row>
    <row r="25" spans="1:15" s="28" customFormat="1" x14ac:dyDescent="0.25">
      <c r="A25" s="45">
        <v>15</v>
      </c>
      <c r="B25" s="52" t="s">
        <v>17</v>
      </c>
      <c r="C25" s="35" t="s">
        <v>34</v>
      </c>
      <c r="D25" s="59" t="s">
        <v>131</v>
      </c>
      <c r="E25" s="7">
        <v>11</v>
      </c>
      <c r="F25" s="4">
        <f>7366.5*2</f>
        <v>14733</v>
      </c>
      <c r="G25" s="4">
        <f>546.5*2</f>
        <v>1093</v>
      </c>
      <c r="H25" s="4">
        <f>339.5*2</f>
        <v>679</v>
      </c>
      <c r="I25" s="4">
        <v>0</v>
      </c>
      <c r="J25" s="4">
        <f>154.02*2</f>
        <v>308.04000000000002</v>
      </c>
      <c r="K25" s="4">
        <v>2448.6799999999998</v>
      </c>
      <c r="L25" s="4">
        <f>1157.46+1409.79</f>
        <v>2567.25</v>
      </c>
      <c r="M25" s="4">
        <f>864.86*2</f>
        <v>1729.72</v>
      </c>
      <c r="N25" s="35" t="s">
        <v>21</v>
      </c>
      <c r="O25" s="46" t="s">
        <v>14</v>
      </c>
    </row>
    <row r="26" spans="1:15" s="28" customFormat="1" x14ac:dyDescent="0.25">
      <c r="A26" s="45">
        <v>16</v>
      </c>
      <c r="B26" s="52" t="s">
        <v>17</v>
      </c>
      <c r="C26" s="35" t="s">
        <v>146</v>
      </c>
      <c r="D26" s="59" t="s">
        <v>130</v>
      </c>
      <c r="E26" s="7">
        <v>11</v>
      </c>
      <c r="F26" s="4">
        <f>7366.5*2</f>
        <v>14733</v>
      </c>
      <c r="G26" s="4">
        <f>546.5*2</f>
        <v>1093</v>
      </c>
      <c r="H26" s="4">
        <f>339.5*2</f>
        <v>679</v>
      </c>
      <c r="I26" s="4">
        <v>0</v>
      </c>
      <c r="J26" s="4">
        <v>0</v>
      </c>
      <c r="K26" s="4"/>
      <c r="L26" s="4">
        <f>1124.56*2</f>
        <v>2249.12</v>
      </c>
      <c r="M26" s="4">
        <f>847.15*2</f>
        <v>1694.3</v>
      </c>
      <c r="N26" s="35" t="s">
        <v>24</v>
      </c>
      <c r="O26" s="46" t="s">
        <v>14</v>
      </c>
    </row>
    <row r="27" spans="1:15" s="28" customFormat="1" x14ac:dyDescent="0.25">
      <c r="A27" s="45">
        <v>17</v>
      </c>
      <c r="B27" s="52" t="s">
        <v>17</v>
      </c>
      <c r="C27" s="35" t="s">
        <v>35</v>
      </c>
      <c r="D27" s="59" t="s">
        <v>131</v>
      </c>
      <c r="E27" s="7">
        <v>11</v>
      </c>
      <c r="F27" s="4">
        <f>7366.5*2</f>
        <v>14733</v>
      </c>
      <c r="G27" s="4">
        <f>546.5*2</f>
        <v>1093</v>
      </c>
      <c r="H27" s="4">
        <f>339.5*2</f>
        <v>679</v>
      </c>
      <c r="I27" s="4">
        <v>0</v>
      </c>
      <c r="J27" s="4">
        <f>154.02*2</f>
        <v>308.04000000000002</v>
      </c>
      <c r="K27" s="4">
        <v>2455.5</v>
      </c>
      <c r="L27" s="4">
        <f>1157.46+1411.25</f>
        <v>2568.71</v>
      </c>
      <c r="M27" s="4">
        <f>864.86*2</f>
        <v>1729.72</v>
      </c>
      <c r="N27" s="35" t="s">
        <v>21</v>
      </c>
      <c r="O27" s="46" t="s">
        <v>14</v>
      </c>
    </row>
    <row r="28" spans="1:15" s="28" customFormat="1" x14ac:dyDescent="0.25">
      <c r="A28" s="45">
        <v>18</v>
      </c>
      <c r="B28" s="52" t="s">
        <v>12</v>
      </c>
      <c r="C28" s="35" t="s">
        <v>36</v>
      </c>
      <c r="D28" s="59" t="s">
        <v>131</v>
      </c>
      <c r="E28" s="7">
        <v>16</v>
      </c>
      <c r="F28" s="4">
        <f>11416*2</f>
        <v>22832</v>
      </c>
      <c r="G28" s="4">
        <f>623.5*2</f>
        <v>1247</v>
      </c>
      <c r="H28" s="4">
        <f>389.5*2</f>
        <v>779</v>
      </c>
      <c r="I28" s="4">
        <v>0</v>
      </c>
      <c r="J28" s="4">
        <f>154.02*2</f>
        <v>308.04000000000002</v>
      </c>
      <c r="K28" s="4">
        <v>3805.33</v>
      </c>
      <c r="L28" s="4">
        <f>2063.19+2660.13</f>
        <v>4723.32</v>
      </c>
      <c r="M28" s="4">
        <f>1330.55*2</f>
        <v>2661.1</v>
      </c>
      <c r="N28" s="35" t="s">
        <v>16</v>
      </c>
      <c r="O28" s="46" t="s">
        <v>14</v>
      </c>
    </row>
    <row r="29" spans="1:15" s="28" customFormat="1" x14ac:dyDescent="0.25">
      <c r="A29" s="45">
        <v>19</v>
      </c>
      <c r="B29" s="52" t="s">
        <v>12</v>
      </c>
      <c r="C29" s="35" t="s">
        <v>37</v>
      </c>
      <c r="D29" s="59" t="s">
        <v>130</v>
      </c>
      <c r="E29" s="7">
        <v>17</v>
      </c>
      <c r="F29" s="4">
        <f>12864.5*2</f>
        <v>25729</v>
      </c>
      <c r="G29" s="4">
        <f>643*2</f>
        <v>1286</v>
      </c>
      <c r="H29" s="4">
        <f>428.5*2</f>
        <v>857</v>
      </c>
      <c r="I29" s="4">
        <v>0</v>
      </c>
      <c r="J29" s="4">
        <f>205.36*2</f>
        <v>410.72</v>
      </c>
      <c r="K29" s="4">
        <v>4288.17</v>
      </c>
      <c r="L29" s="4">
        <f>2429.72+3140.22</f>
        <v>5569.94</v>
      </c>
      <c r="M29" s="4">
        <f>1503.03*2</f>
        <v>3006.06</v>
      </c>
      <c r="N29" s="35" t="s">
        <v>29</v>
      </c>
      <c r="O29" s="46" t="s">
        <v>14</v>
      </c>
    </row>
    <row r="30" spans="1:15" s="28" customFormat="1" x14ac:dyDescent="0.25">
      <c r="A30" s="45">
        <v>20</v>
      </c>
      <c r="B30" s="52" t="s">
        <v>12</v>
      </c>
      <c r="C30" s="35" t="s">
        <v>38</v>
      </c>
      <c r="D30" s="59" t="s">
        <v>130</v>
      </c>
      <c r="E30" s="7">
        <v>17</v>
      </c>
      <c r="F30" s="4">
        <f>12864.5*2</f>
        <v>25729</v>
      </c>
      <c r="G30" s="4">
        <f>643*2</f>
        <v>1286</v>
      </c>
      <c r="H30" s="4">
        <f>428.5*2</f>
        <v>857</v>
      </c>
      <c r="I30" s="4">
        <v>0</v>
      </c>
      <c r="J30" s="4">
        <f>154.02*2</f>
        <v>308.04000000000002</v>
      </c>
      <c r="K30" s="4">
        <v>4288.17</v>
      </c>
      <c r="L30" s="4">
        <f>2417.65+3128.14</f>
        <v>5545.79</v>
      </c>
      <c r="M30" s="4">
        <f>1497.13*2</f>
        <v>2994.26</v>
      </c>
      <c r="N30" s="35" t="s">
        <v>29</v>
      </c>
      <c r="O30" s="46" t="s">
        <v>14</v>
      </c>
    </row>
    <row r="31" spans="1:15" s="28" customFormat="1" x14ac:dyDescent="0.25">
      <c r="A31" s="45">
        <v>21</v>
      </c>
      <c r="B31" s="52" t="s">
        <v>12</v>
      </c>
      <c r="C31" s="35" t="s">
        <v>39</v>
      </c>
      <c r="D31" s="59" t="s">
        <v>131</v>
      </c>
      <c r="E31" s="7">
        <v>17</v>
      </c>
      <c r="F31" s="4">
        <f>12864.5</f>
        <v>12864.5</v>
      </c>
      <c r="G31" s="4">
        <f>643</f>
        <v>643</v>
      </c>
      <c r="H31" s="4">
        <f>428.5</f>
        <v>428.5</v>
      </c>
      <c r="I31" s="4">
        <v>0</v>
      </c>
      <c r="J31" s="4">
        <f>205.36</f>
        <v>205.36</v>
      </c>
      <c r="K31" s="4"/>
      <c r="L31" s="4">
        <f>2429.72</f>
        <v>2429.7199999999998</v>
      </c>
      <c r="M31" s="4">
        <f>1503.03</f>
        <v>1503.03</v>
      </c>
      <c r="N31" s="35" t="s">
        <v>29</v>
      </c>
      <c r="O31" s="46" t="s">
        <v>14</v>
      </c>
    </row>
    <row r="32" spans="1:15" s="28" customFormat="1" x14ac:dyDescent="0.25">
      <c r="A32" s="45">
        <v>22</v>
      </c>
      <c r="B32" s="52" t="s">
        <v>17</v>
      </c>
      <c r="C32" s="35" t="s">
        <v>41</v>
      </c>
      <c r="D32" s="59" t="s">
        <v>131</v>
      </c>
      <c r="E32" s="7">
        <v>11</v>
      </c>
      <c r="F32" s="4">
        <f>7366.5*2</f>
        <v>14733</v>
      </c>
      <c r="G32" s="4">
        <f>546.5*2</f>
        <v>1093</v>
      </c>
      <c r="H32" s="4">
        <f>339.5*2</f>
        <v>679</v>
      </c>
      <c r="I32" s="4">
        <v>0</v>
      </c>
      <c r="J32" s="4">
        <f>102.68*2</f>
        <v>205.36</v>
      </c>
      <c r="K32" s="4">
        <v>2455.5</v>
      </c>
      <c r="L32" s="4">
        <f>1146.49+1400.28</f>
        <v>2546.77</v>
      </c>
      <c r="M32" s="4">
        <f>847.15*2</f>
        <v>1694.3</v>
      </c>
      <c r="N32" s="35" t="s">
        <v>21</v>
      </c>
      <c r="O32" s="46" t="s">
        <v>14</v>
      </c>
    </row>
    <row r="33" spans="1:15" s="28" customFormat="1" x14ac:dyDescent="0.25">
      <c r="A33" s="45">
        <v>23</v>
      </c>
      <c r="B33" s="52" t="s">
        <v>17</v>
      </c>
      <c r="C33" s="35" t="s">
        <v>42</v>
      </c>
      <c r="D33" s="59" t="s">
        <v>131</v>
      </c>
      <c r="E33" s="7">
        <v>11</v>
      </c>
      <c r="F33" s="4">
        <f>7366.5*2</f>
        <v>14733</v>
      </c>
      <c r="G33" s="4">
        <f>546.5*2</f>
        <v>1093</v>
      </c>
      <c r="H33" s="4">
        <f>339.5*2</f>
        <v>679</v>
      </c>
      <c r="I33" s="4">
        <v>0</v>
      </c>
      <c r="J33" s="4">
        <f>256.7*2</f>
        <v>513.4</v>
      </c>
      <c r="K33" s="4">
        <v>2455.5</v>
      </c>
      <c r="L33" s="4">
        <f>1179.38+1433.18</f>
        <v>2612.5600000000004</v>
      </c>
      <c r="M33" s="4">
        <f>876.67*2</f>
        <v>1753.34</v>
      </c>
      <c r="N33" s="35" t="s">
        <v>21</v>
      </c>
      <c r="O33" s="46" t="s">
        <v>14</v>
      </c>
    </row>
    <row r="34" spans="1:15" s="28" customFormat="1" x14ac:dyDescent="0.25">
      <c r="A34" s="45">
        <v>24</v>
      </c>
      <c r="B34" s="52" t="s">
        <v>12</v>
      </c>
      <c r="C34" s="35" t="s">
        <v>43</v>
      </c>
      <c r="D34" s="59" t="s">
        <v>131</v>
      </c>
      <c r="E34" s="7">
        <v>16</v>
      </c>
      <c r="F34" s="4">
        <f>11416*2</f>
        <v>22832</v>
      </c>
      <c r="G34" s="4">
        <f>623.5*2</f>
        <v>1247</v>
      </c>
      <c r="H34" s="4">
        <f>389.5*2</f>
        <v>779</v>
      </c>
      <c r="I34" s="4">
        <v>0</v>
      </c>
      <c r="J34" s="4">
        <f>205.36*2</f>
        <v>410.72</v>
      </c>
      <c r="K34" s="4">
        <v>3805.33</v>
      </c>
      <c r="L34" s="4">
        <f>2075.27+2672.21</f>
        <v>4747.4799999999996</v>
      </c>
      <c r="M34" s="4">
        <f>1336.46*2</f>
        <v>2672.92</v>
      </c>
      <c r="N34" s="35" t="s">
        <v>16</v>
      </c>
      <c r="O34" s="46" t="s">
        <v>14</v>
      </c>
    </row>
    <row r="35" spans="1:15" s="28" customFormat="1" x14ac:dyDescent="0.25">
      <c r="A35" s="45">
        <v>25</v>
      </c>
      <c r="B35" s="59" t="s">
        <v>17</v>
      </c>
      <c r="C35" s="35" t="s">
        <v>133</v>
      </c>
      <c r="D35" s="59" t="s">
        <v>131</v>
      </c>
      <c r="E35" s="7">
        <v>8</v>
      </c>
      <c r="F35" s="4">
        <f>6503*2</f>
        <v>13006</v>
      </c>
      <c r="G35" s="33">
        <f>470.5*2</f>
        <v>941</v>
      </c>
      <c r="H35" s="33">
        <f>322.5*2</f>
        <v>645</v>
      </c>
      <c r="I35" s="33">
        <v>0</v>
      </c>
      <c r="J35" s="33">
        <v>0</v>
      </c>
      <c r="K35" s="33">
        <v>2167.67</v>
      </c>
      <c r="L35" s="4">
        <f>920.25+1112.56</f>
        <v>2032.81</v>
      </c>
      <c r="M35" s="4">
        <f>747.85*2</f>
        <v>1495.7</v>
      </c>
      <c r="N35" s="35" t="s">
        <v>121</v>
      </c>
      <c r="O35" s="46" t="s">
        <v>14</v>
      </c>
    </row>
    <row r="36" spans="1:15" s="28" customFormat="1" x14ac:dyDescent="0.25">
      <c r="A36" s="45">
        <v>26</v>
      </c>
      <c r="B36" s="52" t="s">
        <v>17</v>
      </c>
      <c r="C36" s="35" t="s">
        <v>44</v>
      </c>
      <c r="D36" s="59" t="s">
        <v>131</v>
      </c>
      <c r="E36" s="7">
        <v>11</v>
      </c>
      <c r="F36" s="4">
        <f>7366.5*2</f>
        <v>14733</v>
      </c>
      <c r="G36" s="4">
        <f>546.5*2</f>
        <v>1093</v>
      </c>
      <c r="H36" s="4">
        <f>339.5*2</f>
        <v>679</v>
      </c>
      <c r="I36" s="4">
        <v>0</v>
      </c>
      <c r="J36" s="4">
        <f>102.68*2</f>
        <v>205.36</v>
      </c>
      <c r="K36" s="4">
        <v>2455.5</v>
      </c>
      <c r="L36" s="4">
        <f>1146.49+1400.28</f>
        <v>2546.77</v>
      </c>
      <c r="M36" s="4">
        <f>847.15*2</f>
        <v>1694.3</v>
      </c>
      <c r="N36" s="35" t="s">
        <v>18</v>
      </c>
      <c r="O36" s="46" t="s">
        <v>14</v>
      </c>
    </row>
    <row r="37" spans="1:15" s="28" customFormat="1" x14ac:dyDescent="0.25">
      <c r="A37" s="45">
        <v>27</v>
      </c>
      <c r="B37" s="52" t="s">
        <v>12</v>
      </c>
      <c r="C37" s="38" t="s">
        <v>45</v>
      </c>
      <c r="D37" s="84" t="s">
        <v>131</v>
      </c>
      <c r="E37" s="84">
        <v>16</v>
      </c>
      <c r="F37" s="32">
        <f>11416*2</f>
        <v>22832</v>
      </c>
      <c r="G37" s="32">
        <f>623.5*2</f>
        <v>1247</v>
      </c>
      <c r="H37" s="32">
        <f>389.5*2</f>
        <v>779</v>
      </c>
      <c r="I37" s="32">
        <v>0</v>
      </c>
      <c r="J37" s="32">
        <f>308.04*2</f>
        <v>616.08000000000004</v>
      </c>
      <c r="K37" s="32">
        <v>3805.33</v>
      </c>
      <c r="L37" s="32">
        <f>2099.42+2696.36</f>
        <v>4795.7800000000007</v>
      </c>
      <c r="M37" s="32">
        <f>1348.26*2</f>
        <v>2696.52</v>
      </c>
      <c r="N37" s="38" t="s">
        <v>16</v>
      </c>
      <c r="O37" s="47" t="s">
        <v>14</v>
      </c>
    </row>
    <row r="38" spans="1:15" s="29" customFormat="1" x14ac:dyDescent="0.25">
      <c r="A38" s="45">
        <v>28</v>
      </c>
      <c r="B38" s="52" t="s">
        <v>12</v>
      </c>
      <c r="C38" s="38" t="s">
        <v>46</v>
      </c>
      <c r="D38" s="84" t="s">
        <v>131</v>
      </c>
      <c r="E38" s="84">
        <v>16</v>
      </c>
      <c r="F38" s="32">
        <f>11416*2</f>
        <v>22832</v>
      </c>
      <c r="G38" s="32">
        <f>623.5*2</f>
        <v>1247</v>
      </c>
      <c r="H38" s="32">
        <f>389.5*2</f>
        <v>779</v>
      </c>
      <c r="I38" s="32">
        <v>0</v>
      </c>
      <c r="J38" s="32">
        <f>102.68*2</f>
        <v>205.36</v>
      </c>
      <c r="K38" s="32">
        <v>3805.33</v>
      </c>
      <c r="L38" s="32">
        <f>2051.12+2648.06</f>
        <v>4699.18</v>
      </c>
      <c r="M38" s="32">
        <f>1312.84*2</f>
        <v>2625.68</v>
      </c>
      <c r="N38" s="38" t="s">
        <v>16</v>
      </c>
      <c r="O38" s="47" t="s">
        <v>14</v>
      </c>
    </row>
    <row r="39" spans="1:15" s="28" customFormat="1" x14ac:dyDescent="0.25">
      <c r="A39" s="45">
        <v>29</v>
      </c>
      <c r="B39" s="52" t="s">
        <v>17</v>
      </c>
      <c r="C39" s="35" t="s">
        <v>47</v>
      </c>
      <c r="D39" s="59" t="s">
        <v>131</v>
      </c>
      <c r="E39" s="7">
        <v>11</v>
      </c>
      <c r="F39" s="4">
        <f>7366.5*2</f>
        <v>14733</v>
      </c>
      <c r="G39" s="4">
        <f>546.5*2</f>
        <v>1093</v>
      </c>
      <c r="H39" s="4">
        <f>339.5*2</f>
        <v>679</v>
      </c>
      <c r="I39" s="4">
        <v>0</v>
      </c>
      <c r="J39" s="4">
        <f>154.02*2</f>
        <v>308.04000000000002</v>
      </c>
      <c r="K39" s="4">
        <v>2455.5</v>
      </c>
      <c r="L39" s="4">
        <f>1157.46+1411.25</f>
        <v>2568.71</v>
      </c>
      <c r="M39" s="4">
        <f>864.86*2</f>
        <v>1729.72</v>
      </c>
      <c r="N39" s="35" t="s">
        <v>21</v>
      </c>
      <c r="O39" s="46" t="s">
        <v>14</v>
      </c>
    </row>
    <row r="40" spans="1:15" s="28" customFormat="1" x14ac:dyDescent="0.25">
      <c r="A40" s="45">
        <v>30</v>
      </c>
      <c r="B40" s="52" t="s">
        <v>17</v>
      </c>
      <c r="C40" s="35" t="s">
        <v>48</v>
      </c>
      <c r="D40" s="59" t="s">
        <v>131</v>
      </c>
      <c r="E40" s="7">
        <v>11</v>
      </c>
      <c r="F40" s="4">
        <f>7366.5*2</f>
        <v>14733</v>
      </c>
      <c r="G40" s="4">
        <f>546.5*2</f>
        <v>1093</v>
      </c>
      <c r="H40" s="4">
        <f>339.5*2</f>
        <v>679</v>
      </c>
      <c r="I40" s="4">
        <v>0</v>
      </c>
      <c r="J40" s="4">
        <f>154.02*2</f>
        <v>308.04000000000002</v>
      </c>
      <c r="K40" s="4">
        <v>2455.5</v>
      </c>
      <c r="L40" s="4">
        <f>1157.46+1411.25</f>
        <v>2568.71</v>
      </c>
      <c r="M40" s="4">
        <f>864.86*2</f>
        <v>1729.72</v>
      </c>
      <c r="N40" s="35" t="s">
        <v>21</v>
      </c>
      <c r="O40" s="46" t="s">
        <v>14</v>
      </c>
    </row>
    <row r="41" spans="1:15" s="28" customFormat="1" x14ac:dyDescent="0.25">
      <c r="A41" s="45">
        <v>31</v>
      </c>
      <c r="B41" s="52" t="s">
        <v>17</v>
      </c>
      <c r="C41" s="35" t="s">
        <v>49</v>
      </c>
      <c r="D41" s="59" t="s">
        <v>130</v>
      </c>
      <c r="E41" s="7">
        <v>11</v>
      </c>
      <c r="F41" s="4">
        <f>7366.5*2</f>
        <v>14733</v>
      </c>
      <c r="G41" s="4">
        <f>546.5*2</f>
        <v>1093</v>
      </c>
      <c r="H41" s="4">
        <f>339.5*2</f>
        <v>679</v>
      </c>
      <c r="I41" s="4">
        <v>0</v>
      </c>
      <c r="J41" s="4">
        <v>0</v>
      </c>
      <c r="K41" s="4">
        <v>2455.5</v>
      </c>
      <c r="L41" s="4">
        <f>1124.56+1378.35</f>
        <v>2502.91</v>
      </c>
      <c r="M41" s="4">
        <f>847.15*2</f>
        <v>1694.3</v>
      </c>
      <c r="N41" s="35" t="s">
        <v>21</v>
      </c>
      <c r="O41" s="46" t="s">
        <v>14</v>
      </c>
    </row>
    <row r="42" spans="1:15" s="28" customFormat="1" x14ac:dyDescent="0.25">
      <c r="A42" s="45">
        <v>32</v>
      </c>
      <c r="B42" s="52" t="s">
        <v>12</v>
      </c>
      <c r="C42" s="35" t="s">
        <v>50</v>
      </c>
      <c r="D42" s="59" t="s">
        <v>130</v>
      </c>
      <c r="E42" s="7">
        <v>11</v>
      </c>
      <c r="F42" s="4">
        <f>7366.5*2</f>
        <v>14733</v>
      </c>
      <c r="G42" s="4">
        <f>546.5*2</f>
        <v>1093</v>
      </c>
      <c r="H42" s="4">
        <f>339.5*2</f>
        <v>679</v>
      </c>
      <c r="I42" s="4">
        <v>0</v>
      </c>
      <c r="J42" s="4">
        <v>0</v>
      </c>
      <c r="K42" s="4">
        <v>2455.5</v>
      </c>
      <c r="L42" s="4">
        <f>1124.56+1378.35</f>
        <v>2502.91</v>
      </c>
      <c r="M42" s="4">
        <f>847.15*2</f>
        <v>1694.3</v>
      </c>
      <c r="N42" s="35" t="s">
        <v>21</v>
      </c>
      <c r="O42" s="46" t="s">
        <v>14</v>
      </c>
    </row>
    <row r="43" spans="1:15" s="28" customFormat="1" x14ac:dyDescent="0.25">
      <c r="A43" s="45">
        <v>33</v>
      </c>
      <c r="B43" s="52" t="s">
        <v>17</v>
      </c>
      <c r="C43" s="35" t="s">
        <v>51</v>
      </c>
      <c r="D43" s="59" t="s">
        <v>131</v>
      </c>
      <c r="E43" s="7">
        <v>11</v>
      </c>
      <c r="F43" s="4">
        <f>7366.5*2</f>
        <v>14733</v>
      </c>
      <c r="G43" s="4">
        <f>546.5*2</f>
        <v>1093</v>
      </c>
      <c r="H43" s="4">
        <f>339.5*2</f>
        <v>679</v>
      </c>
      <c r="I43" s="4">
        <v>0</v>
      </c>
      <c r="J43" s="4">
        <f>308.04*2</f>
        <v>616.08000000000004</v>
      </c>
      <c r="K43" s="4">
        <v>2455.5</v>
      </c>
      <c r="L43" s="4">
        <f>1190.36+1444.15</f>
        <v>2634.51</v>
      </c>
      <c r="M43" s="4">
        <f>882.57*2</f>
        <v>1765.14</v>
      </c>
      <c r="N43" s="35" t="s">
        <v>21</v>
      </c>
      <c r="O43" s="46" t="s">
        <v>14</v>
      </c>
    </row>
    <row r="44" spans="1:15" s="28" customFormat="1" x14ac:dyDescent="0.25">
      <c r="A44" s="45">
        <v>34</v>
      </c>
      <c r="B44" s="52" t="s">
        <v>12</v>
      </c>
      <c r="C44" s="35" t="s">
        <v>52</v>
      </c>
      <c r="D44" s="59" t="s">
        <v>131</v>
      </c>
      <c r="E44" s="7">
        <v>22</v>
      </c>
      <c r="F44" s="4">
        <f>21109.5*2</f>
        <v>42219</v>
      </c>
      <c r="G44" s="4">
        <f>932.5*2</f>
        <v>1865</v>
      </c>
      <c r="H44" s="4">
        <f>672.5*2</f>
        <v>1345</v>
      </c>
      <c r="I44" s="4">
        <v>0</v>
      </c>
      <c r="J44" s="4">
        <f>154.02*2</f>
        <v>308.04000000000002</v>
      </c>
      <c r="K44" s="4">
        <v>7036.5</v>
      </c>
      <c r="L44" s="4">
        <f>4743.53+6474.27</f>
        <v>11217.8</v>
      </c>
      <c r="M44" s="4">
        <f>2445.3*2</f>
        <v>4890.6000000000004</v>
      </c>
      <c r="N44" s="35" t="s">
        <v>40</v>
      </c>
      <c r="O44" s="46" t="s">
        <v>14</v>
      </c>
    </row>
    <row r="45" spans="1:15" s="28" customFormat="1" x14ac:dyDescent="0.25">
      <c r="A45" s="45">
        <v>35</v>
      </c>
      <c r="B45" s="52" t="s">
        <v>12</v>
      </c>
      <c r="C45" s="85" t="s">
        <v>132</v>
      </c>
      <c r="D45" s="52" t="s">
        <v>131</v>
      </c>
      <c r="E45" s="7">
        <v>22</v>
      </c>
      <c r="F45" s="4">
        <f>21109.5*2</f>
        <v>42219</v>
      </c>
      <c r="G45" s="4">
        <f>932.5*2</f>
        <v>1865</v>
      </c>
      <c r="H45" s="4">
        <f>672.5*2</f>
        <v>1345</v>
      </c>
      <c r="I45" s="4">
        <v>0</v>
      </c>
      <c r="J45" s="4">
        <f>102.68*2</f>
        <v>205.36</v>
      </c>
      <c r="K45" s="4">
        <v>7036.5</v>
      </c>
      <c r="L45" s="4">
        <f>4728.13+6458.87</f>
        <v>11187</v>
      </c>
      <c r="M45" s="4">
        <f>2439.4*2</f>
        <v>4878.8</v>
      </c>
      <c r="N45" s="35" t="s">
        <v>40</v>
      </c>
      <c r="O45" s="46" t="s">
        <v>14</v>
      </c>
    </row>
    <row r="46" spans="1:15" s="28" customFormat="1" x14ac:dyDescent="0.25">
      <c r="A46" s="45">
        <v>36</v>
      </c>
      <c r="B46" s="52" t="s">
        <v>17</v>
      </c>
      <c r="C46" s="35" t="s">
        <v>53</v>
      </c>
      <c r="D46" s="59" t="s">
        <v>131</v>
      </c>
      <c r="E46" s="7">
        <v>11</v>
      </c>
      <c r="F46" s="4">
        <f>7366.5*2</f>
        <v>14733</v>
      </c>
      <c r="G46" s="4">
        <f>546.5*2</f>
        <v>1093</v>
      </c>
      <c r="H46" s="4">
        <f>339.5*2</f>
        <v>679</v>
      </c>
      <c r="I46" s="4">
        <v>0</v>
      </c>
      <c r="J46" s="4">
        <f>205.36*2</f>
        <v>410.72</v>
      </c>
      <c r="K46" s="4">
        <v>2455.5</v>
      </c>
      <c r="L46" s="4">
        <f>1168.42+1422.21</f>
        <v>2590.63</v>
      </c>
      <c r="M46" s="4">
        <f>870.76*2</f>
        <v>1741.52</v>
      </c>
      <c r="N46" s="35" t="s">
        <v>21</v>
      </c>
      <c r="O46" s="46" t="s">
        <v>14</v>
      </c>
    </row>
    <row r="47" spans="1:15" s="28" customFormat="1" x14ac:dyDescent="0.25">
      <c r="A47" s="45">
        <v>37</v>
      </c>
      <c r="B47" s="52" t="s">
        <v>12</v>
      </c>
      <c r="C47" s="35" t="s">
        <v>54</v>
      </c>
      <c r="D47" s="59" t="s">
        <v>130</v>
      </c>
      <c r="E47" s="7">
        <v>24</v>
      </c>
      <c r="F47" s="4">
        <f>27565.5*2</f>
        <v>55131</v>
      </c>
      <c r="G47" s="4">
        <f>1028.5*2</f>
        <v>2057</v>
      </c>
      <c r="H47" s="4">
        <f>728.5*2</f>
        <v>1457</v>
      </c>
      <c r="I47" s="4">
        <v>0</v>
      </c>
      <c r="J47" s="4">
        <v>0</v>
      </c>
      <c r="K47" s="4">
        <v>9188.5</v>
      </c>
      <c r="L47" s="4">
        <f>9081.64+6679.72</f>
        <v>15761.36</v>
      </c>
      <c r="M47" s="4">
        <f>3170.03*2</f>
        <v>6340.06</v>
      </c>
      <c r="N47" s="35" t="s">
        <v>136</v>
      </c>
      <c r="O47" s="46" t="s">
        <v>14</v>
      </c>
    </row>
    <row r="48" spans="1:15" s="28" customFormat="1" x14ac:dyDescent="0.25">
      <c r="A48" s="45">
        <v>38</v>
      </c>
      <c r="B48" s="52" t="s">
        <v>17</v>
      </c>
      <c r="C48" s="35" t="s">
        <v>55</v>
      </c>
      <c r="D48" s="59" t="s">
        <v>130</v>
      </c>
      <c r="E48" s="7">
        <v>11</v>
      </c>
      <c r="F48" s="4">
        <f>7436.5*2</f>
        <v>14873</v>
      </c>
      <c r="G48" s="4">
        <f>546.5*2</f>
        <v>1093</v>
      </c>
      <c r="H48" s="4">
        <f>339.5*2</f>
        <v>679</v>
      </c>
      <c r="I48" s="4">
        <v>0</v>
      </c>
      <c r="J48" s="4">
        <f>154.02*2</f>
        <v>308.04000000000002</v>
      </c>
      <c r="K48" s="4">
        <v>2478.83</v>
      </c>
      <c r="L48" s="4">
        <f>1172.4+1431.18</f>
        <v>2603.58</v>
      </c>
      <c r="M48" s="4">
        <f>872.91*2</f>
        <v>1745.82</v>
      </c>
      <c r="N48" s="35" t="s">
        <v>18</v>
      </c>
      <c r="O48" s="46" t="s">
        <v>14</v>
      </c>
    </row>
    <row r="49" spans="1:15" s="28" customFormat="1" x14ac:dyDescent="0.25">
      <c r="A49" s="45">
        <v>39</v>
      </c>
      <c r="B49" s="52" t="s">
        <v>17</v>
      </c>
      <c r="C49" s="35" t="s">
        <v>56</v>
      </c>
      <c r="D49" s="59" t="s">
        <v>131</v>
      </c>
      <c r="E49" s="7">
        <v>11</v>
      </c>
      <c r="F49" s="4">
        <f>7366.5*2</f>
        <v>14733</v>
      </c>
      <c r="G49" s="4">
        <f>546.5*2</f>
        <v>1093</v>
      </c>
      <c r="H49" s="4">
        <f>339.5*2</f>
        <v>679</v>
      </c>
      <c r="I49" s="4">
        <v>0</v>
      </c>
      <c r="J49" s="4">
        <f>256.7*2</f>
        <v>513.4</v>
      </c>
      <c r="K49" s="4">
        <v>2455.5</v>
      </c>
      <c r="L49" s="4">
        <f>1179.38+1433.18</f>
        <v>2612.5600000000004</v>
      </c>
      <c r="M49" s="4">
        <f>876.67*2</f>
        <v>1753.34</v>
      </c>
      <c r="N49" s="35" t="s">
        <v>21</v>
      </c>
      <c r="O49" s="46" t="s">
        <v>14</v>
      </c>
    </row>
    <row r="50" spans="1:15" s="28" customFormat="1" x14ac:dyDescent="0.25">
      <c r="A50" s="45">
        <v>40</v>
      </c>
      <c r="B50" s="59" t="s">
        <v>17</v>
      </c>
      <c r="C50" s="35" t="s">
        <v>127</v>
      </c>
      <c r="D50" s="59" t="s">
        <v>130</v>
      </c>
      <c r="E50" s="7">
        <v>11</v>
      </c>
      <c r="F50" s="4">
        <f>7366.5*2</f>
        <v>14733</v>
      </c>
      <c r="G50" s="4">
        <f>546.5*2</f>
        <v>1093</v>
      </c>
      <c r="H50" s="33">
        <f>339.5*2</f>
        <v>679</v>
      </c>
      <c r="I50" s="33">
        <v>0</v>
      </c>
      <c r="J50" s="33">
        <v>0</v>
      </c>
      <c r="K50" s="33">
        <v>2455.5</v>
      </c>
      <c r="L50" s="4">
        <f>1124.56+1378.35</f>
        <v>2502.91</v>
      </c>
      <c r="M50" s="4">
        <f>847.15*2</f>
        <v>1694.3</v>
      </c>
      <c r="N50" s="35" t="s">
        <v>124</v>
      </c>
      <c r="O50" s="46" t="s">
        <v>14</v>
      </c>
    </row>
    <row r="51" spans="1:15" s="28" customFormat="1" x14ac:dyDescent="0.25">
      <c r="A51" s="45">
        <v>41</v>
      </c>
      <c r="B51" s="59" t="s">
        <v>17</v>
      </c>
      <c r="C51" s="35" t="s">
        <v>117</v>
      </c>
      <c r="D51" s="59" t="s">
        <v>130</v>
      </c>
      <c r="E51" s="7">
        <v>11</v>
      </c>
      <c r="F51" s="4">
        <f>7366.5*2</f>
        <v>14733</v>
      </c>
      <c r="G51" s="4">
        <f>546.5*2</f>
        <v>1093</v>
      </c>
      <c r="H51" s="4">
        <f>339.5*2</f>
        <v>679</v>
      </c>
      <c r="I51" s="4">
        <v>0</v>
      </c>
      <c r="J51" s="4">
        <v>0</v>
      </c>
      <c r="K51" s="4">
        <v>2455.5</v>
      </c>
      <c r="L51" s="4">
        <f>1124.56+1378.35</f>
        <v>2502.91</v>
      </c>
      <c r="M51" s="4">
        <f>847.15*2</f>
        <v>1694.3</v>
      </c>
      <c r="N51" s="35" t="s">
        <v>18</v>
      </c>
      <c r="O51" s="46" t="s">
        <v>14</v>
      </c>
    </row>
    <row r="52" spans="1:15" s="28" customFormat="1" x14ac:dyDescent="0.25">
      <c r="A52" s="45">
        <v>42</v>
      </c>
      <c r="B52" s="52" t="s">
        <v>12</v>
      </c>
      <c r="C52" s="35" t="s">
        <v>58</v>
      </c>
      <c r="D52" s="59" t="s">
        <v>130</v>
      </c>
      <c r="E52" s="7">
        <v>17</v>
      </c>
      <c r="F52" s="4">
        <f>12864.5*2</f>
        <v>25729</v>
      </c>
      <c r="G52" s="4">
        <f>643*2</f>
        <v>1286</v>
      </c>
      <c r="H52" s="4">
        <f>428.5*2</f>
        <v>857</v>
      </c>
      <c r="I52" s="4">
        <v>0</v>
      </c>
      <c r="J52" s="4">
        <f>154.02*2</f>
        <v>308.04000000000002</v>
      </c>
      <c r="K52" s="4">
        <v>4288.17</v>
      </c>
      <c r="L52" s="4">
        <f>2417.65+3128.14</f>
        <v>5545.79</v>
      </c>
      <c r="M52" s="4">
        <f>1497.13*2</f>
        <v>2994.26</v>
      </c>
      <c r="N52" s="35" t="s">
        <v>29</v>
      </c>
      <c r="O52" s="46" t="s">
        <v>14</v>
      </c>
    </row>
    <row r="53" spans="1:15" s="28" customFormat="1" x14ac:dyDescent="0.25">
      <c r="A53" s="45">
        <v>43</v>
      </c>
      <c r="B53" s="52" t="s">
        <v>12</v>
      </c>
      <c r="C53" s="35" t="s">
        <v>59</v>
      </c>
      <c r="D53" s="59" t="s">
        <v>131</v>
      </c>
      <c r="E53" s="7">
        <v>16</v>
      </c>
      <c r="F53" s="4">
        <f>11416*2</f>
        <v>22832</v>
      </c>
      <c r="G53" s="4">
        <f>623.5*2</f>
        <v>1247</v>
      </c>
      <c r="H53" s="4">
        <f>389.5*2</f>
        <v>779</v>
      </c>
      <c r="I53" s="4">
        <v>0</v>
      </c>
      <c r="J53" s="4">
        <f>154.02*2</f>
        <v>308.04000000000002</v>
      </c>
      <c r="K53" s="4">
        <v>3805.33</v>
      </c>
      <c r="L53" s="4">
        <f>2063.19+2660.13</f>
        <v>4723.32</v>
      </c>
      <c r="M53" s="4">
        <f>1330.55*2</f>
        <v>2661.1</v>
      </c>
      <c r="N53" s="35" t="s">
        <v>16</v>
      </c>
      <c r="O53" s="46" t="s">
        <v>14</v>
      </c>
    </row>
    <row r="54" spans="1:15" s="28" customFormat="1" x14ac:dyDescent="0.25">
      <c r="A54" s="45">
        <v>44</v>
      </c>
      <c r="B54" s="52" t="s">
        <v>12</v>
      </c>
      <c r="C54" s="35" t="s">
        <v>60</v>
      </c>
      <c r="D54" s="59" t="s">
        <v>130</v>
      </c>
      <c r="E54" s="7">
        <v>17</v>
      </c>
      <c r="F54" s="4">
        <f>12864.5*2</f>
        <v>25729</v>
      </c>
      <c r="G54" s="4">
        <f>643*2</f>
        <v>1286</v>
      </c>
      <c r="H54" s="4">
        <f>428.5*2</f>
        <v>857</v>
      </c>
      <c r="I54" s="4">
        <v>0</v>
      </c>
      <c r="J54" s="4">
        <f>154.02*2</f>
        <v>308.04000000000002</v>
      </c>
      <c r="K54" s="4">
        <v>4288.17</v>
      </c>
      <c r="L54" s="4">
        <f>2417.65+3128.14</f>
        <v>5545.79</v>
      </c>
      <c r="M54" s="4">
        <f>1497.13*2</f>
        <v>2994.26</v>
      </c>
      <c r="N54" s="35" t="s">
        <v>29</v>
      </c>
      <c r="O54" s="46" t="s">
        <v>14</v>
      </c>
    </row>
    <row r="55" spans="1:15" s="28" customFormat="1" x14ac:dyDescent="0.25">
      <c r="A55" s="45">
        <v>45</v>
      </c>
      <c r="B55" s="52" t="s">
        <v>12</v>
      </c>
      <c r="C55" s="35" t="s">
        <v>61</v>
      </c>
      <c r="D55" s="59" t="s">
        <v>131</v>
      </c>
      <c r="E55" s="7">
        <v>16</v>
      </c>
      <c r="F55" s="4">
        <f>8562*2</f>
        <v>17124</v>
      </c>
      <c r="G55" s="4">
        <f>549.5*2</f>
        <v>1099</v>
      </c>
      <c r="H55" s="4">
        <f>370.5*2</f>
        <v>741</v>
      </c>
      <c r="I55" s="4">
        <v>0</v>
      </c>
      <c r="J55" s="4">
        <f>154.02*2</f>
        <v>308.04000000000002</v>
      </c>
      <c r="K55" s="4">
        <v>2854</v>
      </c>
      <c r="L55" s="4">
        <f>1420.08+1758.99</f>
        <v>3179.0699999999997</v>
      </c>
      <c r="M55" s="4">
        <f>1002.34*2</f>
        <v>2004.68</v>
      </c>
      <c r="N55" s="35" t="s">
        <v>16</v>
      </c>
      <c r="O55" s="46" t="s">
        <v>14</v>
      </c>
    </row>
    <row r="56" spans="1:15" s="28" customFormat="1" x14ac:dyDescent="0.25">
      <c r="A56" s="45">
        <v>46</v>
      </c>
      <c r="B56" s="52" t="s">
        <v>17</v>
      </c>
      <c r="C56" s="35" t="s">
        <v>141</v>
      </c>
      <c r="D56" s="59" t="s">
        <v>131</v>
      </c>
      <c r="E56" s="7">
        <v>11</v>
      </c>
      <c r="F56" s="4">
        <f>7436.5*2</f>
        <v>14873</v>
      </c>
      <c r="G56" s="4">
        <f>546.5*2</f>
        <v>1093</v>
      </c>
      <c r="H56" s="4">
        <f>339.5*2</f>
        <v>679</v>
      </c>
      <c r="I56" s="4">
        <v>0</v>
      </c>
      <c r="J56" s="4">
        <f>154.02*2</f>
        <v>308.04000000000002</v>
      </c>
      <c r="K56" s="4">
        <v>2272.2600000000002</v>
      </c>
      <c r="L56" s="4">
        <f>1172.4+1387.06</f>
        <v>2559.46</v>
      </c>
      <c r="M56" s="4">
        <f>872.91*2</f>
        <v>1745.82</v>
      </c>
      <c r="N56" s="35" t="s">
        <v>125</v>
      </c>
      <c r="O56" s="46" t="s">
        <v>14</v>
      </c>
    </row>
    <row r="57" spans="1:15" s="28" customFormat="1" x14ac:dyDescent="0.25">
      <c r="A57" s="45">
        <v>47</v>
      </c>
      <c r="B57" s="52" t="s">
        <v>12</v>
      </c>
      <c r="C57" s="35" t="s">
        <v>62</v>
      </c>
      <c r="D57" s="59" t="s">
        <v>131</v>
      </c>
      <c r="E57" s="7">
        <v>16</v>
      </c>
      <c r="F57" s="4">
        <f>11416*2</f>
        <v>22832</v>
      </c>
      <c r="G57" s="4">
        <f>623.5*2</f>
        <v>1247</v>
      </c>
      <c r="H57" s="4">
        <f>389.5*2</f>
        <v>779</v>
      </c>
      <c r="I57" s="4">
        <v>0</v>
      </c>
      <c r="J57" s="4">
        <f>308.04*2</f>
        <v>616.08000000000004</v>
      </c>
      <c r="K57" s="4">
        <v>3805.33</v>
      </c>
      <c r="L57" s="4">
        <f>2099.42+2696.36</f>
        <v>4795.7800000000007</v>
      </c>
      <c r="M57" s="4">
        <f>1348.26*2</f>
        <v>2696.52</v>
      </c>
      <c r="N57" s="35" t="s">
        <v>16</v>
      </c>
      <c r="O57" s="46" t="s">
        <v>14</v>
      </c>
    </row>
    <row r="58" spans="1:15" s="28" customFormat="1" x14ac:dyDescent="0.25">
      <c r="A58" s="45">
        <v>48</v>
      </c>
      <c r="B58" s="52" t="s">
        <v>12</v>
      </c>
      <c r="C58" s="35" t="s">
        <v>63</v>
      </c>
      <c r="D58" s="59" t="s">
        <v>131</v>
      </c>
      <c r="E58" s="7">
        <v>22</v>
      </c>
      <c r="F58" s="4">
        <f>21109.5*2</f>
        <v>42219</v>
      </c>
      <c r="G58" s="4">
        <f>932.5*2</f>
        <v>1865</v>
      </c>
      <c r="H58" s="4">
        <f>672.5*2</f>
        <v>1345</v>
      </c>
      <c r="I58" s="4">
        <v>0</v>
      </c>
      <c r="J58" s="4">
        <f>154.02*2</f>
        <v>308.04000000000002</v>
      </c>
      <c r="K58" s="4">
        <v>7036.5</v>
      </c>
      <c r="L58" s="4">
        <f>4743.53+6474.27</f>
        <v>11217.8</v>
      </c>
      <c r="M58" s="4">
        <f>2445.3*2</f>
        <v>4890.6000000000004</v>
      </c>
      <c r="N58" s="35" t="s">
        <v>40</v>
      </c>
      <c r="O58" s="46" t="s">
        <v>14</v>
      </c>
    </row>
    <row r="59" spans="1:15" s="28" customFormat="1" x14ac:dyDescent="0.25">
      <c r="A59" s="45">
        <v>49</v>
      </c>
      <c r="B59" s="52" t="s">
        <v>17</v>
      </c>
      <c r="C59" s="35" t="s">
        <v>64</v>
      </c>
      <c r="D59" s="59" t="s">
        <v>131</v>
      </c>
      <c r="E59" s="7">
        <v>11</v>
      </c>
      <c r="F59" s="4">
        <f>7366.5*2</f>
        <v>14733</v>
      </c>
      <c r="G59" s="4">
        <f>546.5*2</f>
        <v>1093</v>
      </c>
      <c r="H59" s="4">
        <f>339.5*2</f>
        <v>679</v>
      </c>
      <c r="I59" s="4">
        <v>0</v>
      </c>
      <c r="J59" s="4">
        <f>102.68*2</f>
        <v>205.36</v>
      </c>
      <c r="K59" s="4">
        <v>2455.5</v>
      </c>
      <c r="L59" s="4">
        <f>1146.49+1400.28</f>
        <v>2546.77</v>
      </c>
      <c r="M59" s="4">
        <f>847.15*2</f>
        <v>1694.3</v>
      </c>
      <c r="N59" s="35" t="s">
        <v>21</v>
      </c>
      <c r="O59" s="46" t="s">
        <v>14</v>
      </c>
    </row>
    <row r="60" spans="1:15" s="28" customFormat="1" x14ac:dyDescent="0.25">
      <c r="A60" s="45">
        <v>50</v>
      </c>
      <c r="B60" s="52" t="s">
        <v>17</v>
      </c>
      <c r="C60" s="35" t="s">
        <v>66</v>
      </c>
      <c r="D60" s="59" t="s">
        <v>130</v>
      </c>
      <c r="E60" s="7">
        <v>11</v>
      </c>
      <c r="F60" s="4">
        <f>7366.5*2</f>
        <v>14733</v>
      </c>
      <c r="G60" s="4">
        <f>546.5*2</f>
        <v>1093</v>
      </c>
      <c r="H60" s="4">
        <f>339.5*2</f>
        <v>679</v>
      </c>
      <c r="I60" s="4">
        <v>0</v>
      </c>
      <c r="J60" s="4">
        <f>102.68*2</f>
        <v>205.36</v>
      </c>
      <c r="K60" s="4">
        <v>2455.5</v>
      </c>
      <c r="L60" s="4">
        <f>1146.49+1400.28</f>
        <v>2546.77</v>
      </c>
      <c r="M60" s="4">
        <f>847.15*2</f>
        <v>1694.3</v>
      </c>
      <c r="N60" s="35" t="s">
        <v>24</v>
      </c>
      <c r="O60" s="46" t="s">
        <v>14</v>
      </c>
    </row>
    <row r="61" spans="1:15" s="28" customFormat="1" x14ac:dyDescent="0.25">
      <c r="A61" s="45">
        <v>51</v>
      </c>
      <c r="B61" s="52" t="s">
        <v>17</v>
      </c>
      <c r="C61" s="35" t="s">
        <v>145</v>
      </c>
      <c r="D61" s="59" t="s">
        <v>130</v>
      </c>
      <c r="E61" s="7">
        <v>11</v>
      </c>
      <c r="F61" s="4">
        <f>7366.5*2</f>
        <v>14733</v>
      </c>
      <c r="G61" s="4">
        <f>546.5*2</f>
        <v>1093</v>
      </c>
      <c r="H61" s="4">
        <f>339.5*2</f>
        <v>679</v>
      </c>
      <c r="I61" s="4">
        <v>0</v>
      </c>
      <c r="J61" s="4">
        <v>0</v>
      </c>
      <c r="K61" s="4"/>
      <c r="L61" s="4">
        <f>1124.56*2</f>
        <v>2249.12</v>
      </c>
      <c r="M61" s="4">
        <f>847.15*2</f>
        <v>1694.3</v>
      </c>
      <c r="N61" s="35" t="s">
        <v>124</v>
      </c>
      <c r="O61" s="46" t="s">
        <v>14</v>
      </c>
    </row>
    <row r="62" spans="1:15" s="28" customFormat="1" x14ac:dyDescent="0.25">
      <c r="A62" s="45">
        <v>52</v>
      </c>
      <c r="B62" s="52" t="s">
        <v>12</v>
      </c>
      <c r="C62" s="35" t="s">
        <v>67</v>
      </c>
      <c r="D62" s="59" t="s">
        <v>131</v>
      </c>
      <c r="E62" s="7">
        <v>15</v>
      </c>
      <c r="F62" s="4">
        <f>10136*2</f>
        <v>20272</v>
      </c>
      <c r="G62" s="4">
        <f>603*2</f>
        <v>1206</v>
      </c>
      <c r="H62" s="4">
        <f>377.5*2</f>
        <v>755</v>
      </c>
      <c r="I62" s="4">
        <v>0</v>
      </c>
      <c r="J62" s="4">
        <f>205.36*2</f>
        <v>410.72</v>
      </c>
      <c r="K62" s="4">
        <v>3378.67</v>
      </c>
      <c r="L62" s="4">
        <f>1780.17+2263.16</f>
        <v>4043.33</v>
      </c>
      <c r="M62" s="4">
        <f>1189.26*2</f>
        <v>2378.52</v>
      </c>
      <c r="N62" s="35" t="s">
        <v>126</v>
      </c>
      <c r="O62" s="46" t="s">
        <v>14</v>
      </c>
    </row>
    <row r="63" spans="1:15" s="28" customFormat="1" x14ac:dyDescent="0.25">
      <c r="A63" s="45">
        <v>53</v>
      </c>
      <c r="B63" s="52" t="s">
        <v>12</v>
      </c>
      <c r="C63" s="35" t="s">
        <v>68</v>
      </c>
      <c r="D63" s="59" t="s">
        <v>131</v>
      </c>
      <c r="E63" s="7">
        <v>16</v>
      </c>
      <c r="F63" s="4">
        <f>11416*2</f>
        <v>22832</v>
      </c>
      <c r="G63" s="4">
        <f>623.5*2</f>
        <v>1247</v>
      </c>
      <c r="H63" s="4">
        <f>389.5*2</f>
        <v>779</v>
      </c>
      <c r="I63" s="4">
        <v>0</v>
      </c>
      <c r="J63" s="4">
        <f>154.02*2</f>
        <v>308.04000000000002</v>
      </c>
      <c r="K63" s="4">
        <v>3805.33</v>
      </c>
      <c r="L63" s="4">
        <f>2063.19+2660.13</f>
        <v>4723.32</v>
      </c>
      <c r="M63" s="4">
        <f>1330.55*2</f>
        <v>2661.1</v>
      </c>
      <c r="N63" s="35" t="s">
        <v>16</v>
      </c>
      <c r="O63" s="46" t="s">
        <v>14</v>
      </c>
    </row>
    <row r="64" spans="1:15" s="28" customFormat="1" x14ac:dyDescent="0.25">
      <c r="A64" s="45">
        <v>54</v>
      </c>
      <c r="B64" s="52" t="s">
        <v>12</v>
      </c>
      <c r="C64" s="35" t="s">
        <v>69</v>
      </c>
      <c r="D64" s="59" t="s">
        <v>131</v>
      </c>
      <c r="E64" s="7">
        <v>17</v>
      </c>
      <c r="F64" s="4">
        <f>12864.5*2</f>
        <v>25729</v>
      </c>
      <c r="G64" s="4">
        <f>643*2</f>
        <v>1286</v>
      </c>
      <c r="H64" s="4">
        <f>428.5*2</f>
        <v>857</v>
      </c>
      <c r="I64" s="4">
        <v>0</v>
      </c>
      <c r="J64" s="4">
        <f>205.36*2</f>
        <v>410.72</v>
      </c>
      <c r="K64" s="4">
        <v>4288.17</v>
      </c>
      <c r="L64" s="4">
        <f>2429.72+3140.22</f>
        <v>5569.94</v>
      </c>
      <c r="M64" s="4">
        <f>1503.03*2</f>
        <v>3006.06</v>
      </c>
      <c r="N64" s="35" t="s">
        <v>29</v>
      </c>
      <c r="O64" s="46" t="s">
        <v>14</v>
      </c>
    </row>
    <row r="65" spans="1:16" s="28" customFormat="1" x14ac:dyDescent="0.25">
      <c r="A65" s="45">
        <v>55</v>
      </c>
      <c r="B65" s="52" t="s">
        <v>12</v>
      </c>
      <c r="C65" s="35" t="s">
        <v>70</v>
      </c>
      <c r="D65" s="59" t="s">
        <v>131</v>
      </c>
      <c r="E65" s="7">
        <v>17</v>
      </c>
      <c r="F65" s="4">
        <f>12864.5*2</f>
        <v>25729</v>
      </c>
      <c r="G65" s="4">
        <f>643*2</f>
        <v>1286</v>
      </c>
      <c r="H65" s="4">
        <f>428.5*2</f>
        <v>857</v>
      </c>
      <c r="I65" s="4">
        <v>0</v>
      </c>
      <c r="J65" s="4">
        <f>154.02*2</f>
        <v>308.04000000000002</v>
      </c>
      <c r="K65" s="4">
        <v>4288.17</v>
      </c>
      <c r="L65" s="4">
        <f>2417.65+3128.14</f>
        <v>5545.79</v>
      </c>
      <c r="M65" s="4">
        <f>1497.13*2</f>
        <v>2994.26</v>
      </c>
      <c r="N65" s="35" t="s">
        <v>29</v>
      </c>
      <c r="O65" s="46" t="s">
        <v>14</v>
      </c>
    </row>
    <row r="66" spans="1:16" s="29" customFormat="1" x14ac:dyDescent="0.25">
      <c r="A66" s="45">
        <v>56</v>
      </c>
      <c r="B66" s="52" t="s">
        <v>12</v>
      </c>
      <c r="C66" s="85" t="s">
        <v>71</v>
      </c>
      <c r="D66" s="86" t="s">
        <v>131</v>
      </c>
      <c r="E66" s="84">
        <v>17</v>
      </c>
      <c r="F66" s="32">
        <f>12864.5*2</f>
        <v>25729</v>
      </c>
      <c r="G66" s="32">
        <f>643*2</f>
        <v>1286</v>
      </c>
      <c r="H66" s="32">
        <f>428.5*2</f>
        <v>857</v>
      </c>
      <c r="I66" s="32">
        <v>0</v>
      </c>
      <c r="J66" s="32">
        <f>205.36*2</f>
        <v>410.72</v>
      </c>
      <c r="K66" s="32">
        <v>4288.17</v>
      </c>
      <c r="L66" s="32">
        <f>2429.72+3140.22</f>
        <v>5569.94</v>
      </c>
      <c r="M66" s="32">
        <f>1503.03*2</f>
        <v>3006.06</v>
      </c>
      <c r="N66" s="38" t="s">
        <v>57</v>
      </c>
      <c r="O66" s="47" t="s">
        <v>14</v>
      </c>
    </row>
    <row r="67" spans="1:16" s="28" customFormat="1" x14ac:dyDescent="0.25">
      <c r="A67" s="45">
        <v>57</v>
      </c>
      <c r="B67" s="52" t="s">
        <v>17</v>
      </c>
      <c r="C67" s="35" t="s">
        <v>72</v>
      </c>
      <c r="D67" s="59" t="s">
        <v>131</v>
      </c>
      <c r="E67" s="7">
        <v>11</v>
      </c>
      <c r="F67" s="4">
        <f>7366.5*2</f>
        <v>14733</v>
      </c>
      <c r="G67" s="4">
        <f>546.5*2</f>
        <v>1093</v>
      </c>
      <c r="H67" s="4">
        <f>339.5*2</f>
        <v>679</v>
      </c>
      <c r="I67" s="4">
        <v>0</v>
      </c>
      <c r="J67" s="4">
        <f>256.7*2</f>
        <v>513.4</v>
      </c>
      <c r="K67" s="4">
        <v>2455.5</v>
      </c>
      <c r="L67" s="4">
        <f>1179.38+1433.18</f>
        <v>2612.5600000000004</v>
      </c>
      <c r="M67" s="4">
        <f>876.67*2</f>
        <v>1753.34</v>
      </c>
      <c r="N67" s="35" t="s">
        <v>24</v>
      </c>
      <c r="O67" s="46" t="s">
        <v>14</v>
      </c>
    </row>
    <row r="68" spans="1:16" s="28" customFormat="1" x14ac:dyDescent="0.25">
      <c r="A68" s="45">
        <v>58</v>
      </c>
      <c r="B68" s="52" t="s">
        <v>17</v>
      </c>
      <c r="C68" s="35" t="s">
        <v>73</v>
      </c>
      <c r="D68" s="59" t="s">
        <v>131</v>
      </c>
      <c r="E68" s="7">
        <v>11</v>
      </c>
      <c r="F68" s="4">
        <f>7366.5*2</f>
        <v>14733</v>
      </c>
      <c r="G68" s="4">
        <f>546.5*2</f>
        <v>1093</v>
      </c>
      <c r="H68" s="4">
        <f>339.5*2</f>
        <v>679</v>
      </c>
      <c r="I68" s="4">
        <v>0</v>
      </c>
      <c r="J68" s="4">
        <f>102.68*2</f>
        <v>205.36</v>
      </c>
      <c r="K68" s="4"/>
      <c r="L68" s="4">
        <f>1146.49*2</f>
        <v>2292.98</v>
      </c>
      <c r="M68" s="4">
        <f>858.96*2</f>
        <v>1717.92</v>
      </c>
      <c r="N68" s="35" t="s">
        <v>18</v>
      </c>
      <c r="O68" s="46" t="s">
        <v>14</v>
      </c>
    </row>
    <row r="69" spans="1:16" s="28" customFormat="1" x14ac:dyDescent="0.25">
      <c r="A69" s="45">
        <v>59</v>
      </c>
      <c r="B69" s="52" t="s">
        <v>17</v>
      </c>
      <c r="C69" s="35" t="s">
        <v>74</v>
      </c>
      <c r="D69" s="59" t="s">
        <v>130</v>
      </c>
      <c r="E69" s="7">
        <v>11</v>
      </c>
      <c r="F69" s="4">
        <f>7436.5*2</f>
        <v>14873</v>
      </c>
      <c r="G69" s="4">
        <f>546.5*2</f>
        <v>1093</v>
      </c>
      <c r="H69" s="4">
        <f>339.5*2</f>
        <v>679</v>
      </c>
      <c r="I69" s="4">
        <v>0</v>
      </c>
      <c r="J69" s="4">
        <f>102.68*2</f>
        <v>205.36</v>
      </c>
      <c r="K69" s="4">
        <v>2478.83</v>
      </c>
      <c r="L69" s="4">
        <f>1161.44+1420.22</f>
        <v>2581.66</v>
      </c>
      <c r="M69" s="4">
        <f>867.01*2</f>
        <v>1734.02</v>
      </c>
      <c r="N69" s="35" t="s">
        <v>75</v>
      </c>
      <c r="O69" s="46" t="s">
        <v>14</v>
      </c>
    </row>
    <row r="70" spans="1:16" s="28" customFormat="1" x14ac:dyDescent="0.25">
      <c r="A70" s="45">
        <v>60</v>
      </c>
      <c r="B70" s="52" t="s">
        <v>17</v>
      </c>
      <c r="C70" s="35" t="s">
        <v>76</v>
      </c>
      <c r="D70" s="59" t="s">
        <v>131</v>
      </c>
      <c r="E70" s="7">
        <v>11</v>
      </c>
      <c r="F70" s="4">
        <f>7366.5*2</f>
        <v>14733</v>
      </c>
      <c r="G70" s="4">
        <f>546.5*2</f>
        <v>1093</v>
      </c>
      <c r="H70" s="4">
        <f>339.5*2</f>
        <v>679</v>
      </c>
      <c r="I70" s="4">
        <v>0</v>
      </c>
      <c r="J70" s="4">
        <f>102.68*2</f>
        <v>205.36</v>
      </c>
      <c r="K70" s="4">
        <v>2455.5</v>
      </c>
      <c r="L70" s="4">
        <f>1146.49+1400.28</f>
        <v>2546.77</v>
      </c>
      <c r="M70" s="4">
        <f>847.15*2</f>
        <v>1694.3</v>
      </c>
      <c r="N70" s="35" t="s">
        <v>24</v>
      </c>
      <c r="O70" s="46" t="s">
        <v>14</v>
      </c>
    </row>
    <row r="71" spans="1:16" s="28" customFormat="1" x14ac:dyDescent="0.25">
      <c r="A71" s="45">
        <v>61</v>
      </c>
      <c r="B71" s="52" t="s">
        <v>12</v>
      </c>
      <c r="C71" s="35" t="s">
        <v>77</v>
      </c>
      <c r="D71" s="59" t="s">
        <v>131</v>
      </c>
      <c r="E71" s="7">
        <v>16</v>
      </c>
      <c r="F71" s="4">
        <f>11416*2</f>
        <v>22832</v>
      </c>
      <c r="G71" s="4">
        <f>623.5*2</f>
        <v>1247</v>
      </c>
      <c r="H71" s="4">
        <f>389.5*2</f>
        <v>779</v>
      </c>
      <c r="I71" s="4">
        <v>0</v>
      </c>
      <c r="J71" s="4">
        <f>154.02*2</f>
        <v>308.04000000000002</v>
      </c>
      <c r="K71" s="4">
        <v>3805.33</v>
      </c>
      <c r="L71" s="4">
        <f>2063.19+2660.13</f>
        <v>4723.32</v>
      </c>
      <c r="M71" s="4">
        <f>1330.55*2</f>
        <v>2661.1</v>
      </c>
      <c r="N71" s="35" t="s">
        <v>16</v>
      </c>
      <c r="O71" s="46" t="s">
        <v>14</v>
      </c>
    </row>
    <row r="72" spans="1:16" s="28" customFormat="1" x14ac:dyDescent="0.25">
      <c r="A72" s="45">
        <v>62</v>
      </c>
      <c r="B72" s="52" t="s">
        <v>17</v>
      </c>
      <c r="C72" s="35" t="s">
        <v>78</v>
      </c>
      <c r="D72" s="59" t="s">
        <v>131</v>
      </c>
      <c r="E72" s="7">
        <v>11</v>
      </c>
      <c r="F72" s="4">
        <f>7366.5*2</f>
        <v>14733</v>
      </c>
      <c r="G72" s="4">
        <f>546.5*2</f>
        <v>1093</v>
      </c>
      <c r="H72" s="4">
        <f>339.5*2</f>
        <v>679</v>
      </c>
      <c r="I72" s="4">
        <v>0</v>
      </c>
      <c r="J72" s="4">
        <f>154.02*2</f>
        <v>308.04000000000002</v>
      </c>
      <c r="K72" s="4">
        <v>2455.5</v>
      </c>
      <c r="L72" s="4">
        <f>1157.46+1411.25</f>
        <v>2568.71</v>
      </c>
      <c r="M72" s="4">
        <f>864.86*2</f>
        <v>1729.72</v>
      </c>
      <c r="N72" s="35" t="s">
        <v>21</v>
      </c>
      <c r="O72" s="46" t="s">
        <v>14</v>
      </c>
    </row>
    <row r="73" spans="1:16" s="28" customFormat="1" x14ac:dyDescent="0.25">
      <c r="A73" s="45">
        <v>63</v>
      </c>
      <c r="B73" s="52" t="s">
        <v>17</v>
      </c>
      <c r="C73" s="35" t="s">
        <v>134</v>
      </c>
      <c r="D73" s="59" t="s">
        <v>131</v>
      </c>
      <c r="E73" s="7">
        <v>11</v>
      </c>
      <c r="F73" s="4">
        <f>7366.5*2</f>
        <v>14733</v>
      </c>
      <c r="G73" s="4">
        <f>546.5*2</f>
        <v>1093</v>
      </c>
      <c r="H73" s="4">
        <f>339.5*2</f>
        <v>679</v>
      </c>
      <c r="I73" s="4">
        <v>0</v>
      </c>
      <c r="J73" s="4">
        <v>0</v>
      </c>
      <c r="K73" s="4"/>
      <c r="L73" s="4">
        <f>1124.56*2</f>
        <v>2249.12</v>
      </c>
      <c r="M73" s="4">
        <f>847.15*2</f>
        <v>1694.3</v>
      </c>
      <c r="N73" s="35" t="s">
        <v>124</v>
      </c>
      <c r="O73" s="46" t="s">
        <v>14</v>
      </c>
    </row>
    <row r="74" spans="1:16" s="28" customFormat="1" x14ac:dyDescent="0.25">
      <c r="A74" s="45">
        <v>64</v>
      </c>
      <c r="B74" s="52" t="s">
        <v>12</v>
      </c>
      <c r="C74" s="35" t="s">
        <v>79</v>
      </c>
      <c r="D74" s="59" t="s">
        <v>131</v>
      </c>
      <c r="E74" s="7">
        <v>16</v>
      </c>
      <c r="F74" s="4">
        <f>11416*2</f>
        <v>22832</v>
      </c>
      <c r="G74" s="4">
        <f>623.5*2</f>
        <v>1247</v>
      </c>
      <c r="H74" s="4">
        <f>389.5*2</f>
        <v>779</v>
      </c>
      <c r="I74" s="4">
        <v>0</v>
      </c>
      <c r="J74" s="4">
        <f>205.36*2</f>
        <v>410.72</v>
      </c>
      <c r="K74" s="4">
        <v>3805.33</v>
      </c>
      <c r="L74" s="4">
        <f>2075.27+2672.21</f>
        <v>4747.4799999999996</v>
      </c>
      <c r="M74" s="4">
        <f>1336.46*2</f>
        <v>2672.92</v>
      </c>
      <c r="N74" s="35" t="s">
        <v>16</v>
      </c>
      <c r="O74" s="46" t="s">
        <v>14</v>
      </c>
    </row>
    <row r="75" spans="1:16" s="28" customFormat="1" x14ac:dyDescent="0.25">
      <c r="A75" s="45">
        <v>65</v>
      </c>
      <c r="B75" s="52" t="s">
        <v>12</v>
      </c>
      <c r="C75" s="35" t="s">
        <v>80</v>
      </c>
      <c r="D75" s="59" t="s">
        <v>131</v>
      </c>
      <c r="E75" s="7">
        <v>17</v>
      </c>
      <c r="F75" s="4">
        <f>12864.5*2</f>
        <v>25729</v>
      </c>
      <c r="G75" s="4">
        <f>643*2</f>
        <v>1286</v>
      </c>
      <c r="H75" s="4">
        <f>428.5*2</f>
        <v>857</v>
      </c>
      <c r="I75" s="4">
        <v>0</v>
      </c>
      <c r="J75" s="4">
        <f>205.36*2</f>
        <v>410.72</v>
      </c>
      <c r="K75" s="4">
        <v>4288.17</v>
      </c>
      <c r="L75" s="4">
        <f>2429.72+3140.22</f>
        <v>5569.94</v>
      </c>
      <c r="M75" s="4">
        <f>1503.03*2</f>
        <v>3006.06</v>
      </c>
      <c r="N75" s="35" t="s">
        <v>29</v>
      </c>
      <c r="O75" s="46" t="s">
        <v>14</v>
      </c>
      <c r="P75" s="30"/>
    </row>
    <row r="76" spans="1:16" s="28" customFormat="1" x14ac:dyDescent="0.25">
      <c r="A76" s="45">
        <v>66</v>
      </c>
      <c r="B76" s="52" t="s">
        <v>12</v>
      </c>
      <c r="C76" s="35" t="s">
        <v>81</v>
      </c>
      <c r="D76" s="59" t="s">
        <v>131</v>
      </c>
      <c r="E76" s="7">
        <v>16</v>
      </c>
      <c r="F76" s="4">
        <f>11416*2</f>
        <v>22832</v>
      </c>
      <c r="G76" s="4">
        <f>623.5*2</f>
        <v>1247</v>
      </c>
      <c r="H76" s="4">
        <f>389.5*2</f>
        <v>779</v>
      </c>
      <c r="I76" s="4">
        <v>0</v>
      </c>
      <c r="J76" s="4">
        <f>154.02*2</f>
        <v>308.04000000000002</v>
      </c>
      <c r="K76" s="4">
        <v>3805.33</v>
      </c>
      <c r="L76" s="4">
        <f>2063.19+2660.13</f>
        <v>4723.32</v>
      </c>
      <c r="M76" s="4">
        <f>1330.55*2</f>
        <v>2661.1</v>
      </c>
      <c r="N76" s="35" t="s">
        <v>16</v>
      </c>
      <c r="O76" s="46" t="s">
        <v>14</v>
      </c>
    </row>
    <row r="77" spans="1:16" s="28" customFormat="1" x14ac:dyDescent="0.25">
      <c r="A77" s="45">
        <v>67</v>
      </c>
      <c r="B77" s="52" t="s">
        <v>17</v>
      </c>
      <c r="C77" s="35" t="s">
        <v>82</v>
      </c>
      <c r="D77" s="59" t="s">
        <v>131</v>
      </c>
      <c r="E77" s="7">
        <v>11</v>
      </c>
      <c r="F77" s="4">
        <f>7366.5*2</f>
        <v>14733</v>
      </c>
      <c r="G77" s="4">
        <f>546.5*2</f>
        <v>1093</v>
      </c>
      <c r="H77" s="4">
        <f>339.5*2</f>
        <v>679</v>
      </c>
      <c r="I77" s="4">
        <v>0</v>
      </c>
      <c r="J77" s="4">
        <f>256.7*2</f>
        <v>513.4</v>
      </c>
      <c r="K77" s="4">
        <v>2455.5</v>
      </c>
      <c r="L77" s="4">
        <f>1179.38+1433.18</f>
        <v>2612.5600000000004</v>
      </c>
      <c r="M77" s="4">
        <f>876.67*2</f>
        <v>1753.34</v>
      </c>
      <c r="N77" s="35" t="s">
        <v>24</v>
      </c>
      <c r="O77" s="46" t="s">
        <v>14</v>
      </c>
    </row>
    <row r="78" spans="1:16" s="28" customFormat="1" x14ac:dyDescent="0.25">
      <c r="A78" s="45">
        <v>68</v>
      </c>
      <c r="B78" s="52" t="s">
        <v>17</v>
      </c>
      <c r="C78" s="35" t="s">
        <v>83</v>
      </c>
      <c r="D78" s="59" t="s">
        <v>131</v>
      </c>
      <c r="E78" s="7">
        <v>11</v>
      </c>
      <c r="F78" s="4">
        <f>7366.5*2</f>
        <v>14733</v>
      </c>
      <c r="G78" s="4">
        <f>546.5*2</f>
        <v>1093</v>
      </c>
      <c r="H78" s="4">
        <f>339.5*2</f>
        <v>679</v>
      </c>
      <c r="I78" s="4">
        <v>0</v>
      </c>
      <c r="J78" s="4">
        <f>102.68*2</f>
        <v>205.36</v>
      </c>
      <c r="K78" s="4">
        <v>2455.5</v>
      </c>
      <c r="L78" s="4">
        <f>1146.49+1400.28</f>
        <v>2546.77</v>
      </c>
      <c r="M78" s="4">
        <f>847.15*2</f>
        <v>1694.3</v>
      </c>
      <c r="N78" s="35" t="s">
        <v>21</v>
      </c>
      <c r="O78" s="46" t="s">
        <v>14</v>
      </c>
    </row>
    <row r="79" spans="1:16" s="28" customFormat="1" x14ac:dyDescent="0.25">
      <c r="A79" s="45">
        <v>69</v>
      </c>
      <c r="B79" s="52" t="s">
        <v>12</v>
      </c>
      <c r="C79" s="35" t="s">
        <v>137</v>
      </c>
      <c r="D79" s="59" t="s">
        <v>130</v>
      </c>
      <c r="E79" s="7">
        <v>26</v>
      </c>
      <c r="F79" s="4">
        <f>34722.5*2</f>
        <v>69445</v>
      </c>
      <c r="G79" s="4">
        <f>1272*2</f>
        <v>2544</v>
      </c>
      <c r="H79" s="4">
        <f>897*2</f>
        <v>1794</v>
      </c>
      <c r="I79" s="4">
        <v>0</v>
      </c>
      <c r="J79" s="4">
        <v>0</v>
      </c>
      <c r="K79" s="4"/>
      <c r="L79" s="4">
        <f>8968.95*2</f>
        <v>17937.900000000001</v>
      </c>
      <c r="M79" s="4">
        <f>3993.09*2</f>
        <v>7986.18</v>
      </c>
      <c r="N79" s="35" t="s">
        <v>138</v>
      </c>
      <c r="O79" s="46" t="s">
        <v>14</v>
      </c>
    </row>
    <row r="80" spans="1:16" s="28" customFormat="1" x14ac:dyDescent="0.25">
      <c r="A80" s="45">
        <v>70</v>
      </c>
      <c r="B80" s="52" t="s">
        <v>17</v>
      </c>
      <c r="C80" s="35" t="s">
        <v>84</v>
      </c>
      <c r="D80" s="59" t="s">
        <v>131</v>
      </c>
      <c r="E80" s="7">
        <v>11</v>
      </c>
      <c r="F80" s="4">
        <f>7366.5*2</f>
        <v>14733</v>
      </c>
      <c r="G80" s="4">
        <f>546.5*2</f>
        <v>1093</v>
      </c>
      <c r="H80" s="4">
        <f>339.5*2</f>
        <v>679</v>
      </c>
      <c r="I80" s="4">
        <v>0</v>
      </c>
      <c r="J80" s="4">
        <f>154.02*2</f>
        <v>308.04000000000002</v>
      </c>
      <c r="K80" s="4">
        <v>2435.04</v>
      </c>
      <c r="L80" s="4">
        <f>1157.46+1406.88</f>
        <v>2564.34</v>
      </c>
      <c r="M80" s="4">
        <f>864.86*2</f>
        <v>1729.72</v>
      </c>
      <c r="N80" s="35" t="s">
        <v>18</v>
      </c>
      <c r="O80" s="46" t="s">
        <v>14</v>
      </c>
    </row>
    <row r="81" spans="1:15" s="28" customFormat="1" x14ac:dyDescent="0.25">
      <c r="A81" s="45">
        <v>71</v>
      </c>
      <c r="B81" s="52" t="s">
        <v>12</v>
      </c>
      <c r="C81" s="35" t="s">
        <v>85</v>
      </c>
      <c r="D81" s="59" t="s">
        <v>131</v>
      </c>
      <c r="E81" s="7">
        <v>16</v>
      </c>
      <c r="F81" s="4">
        <f>11416*2</f>
        <v>22832</v>
      </c>
      <c r="G81" s="4">
        <f>623.5*2</f>
        <v>1247</v>
      </c>
      <c r="H81" s="4">
        <f>389.5*2</f>
        <v>779</v>
      </c>
      <c r="I81" s="4">
        <v>0</v>
      </c>
      <c r="J81" s="4">
        <f>154.02*2</f>
        <v>308.04000000000002</v>
      </c>
      <c r="K81" s="4"/>
      <c r="L81" s="4">
        <f>2063.19*2</f>
        <v>4126.38</v>
      </c>
      <c r="M81" s="4">
        <f>1330.55*2</f>
        <v>2661.1</v>
      </c>
      <c r="N81" s="35" t="s">
        <v>16</v>
      </c>
      <c r="O81" s="46" t="s">
        <v>14</v>
      </c>
    </row>
    <row r="82" spans="1:15" s="28" customFormat="1" x14ac:dyDescent="0.25">
      <c r="A82" s="45">
        <v>72</v>
      </c>
      <c r="B82" s="59" t="s">
        <v>12</v>
      </c>
      <c r="C82" s="35" t="s">
        <v>123</v>
      </c>
      <c r="D82" s="59" t="s">
        <v>131</v>
      </c>
      <c r="E82" s="7">
        <v>16</v>
      </c>
      <c r="F82" s="4">
        <f>11416*2</f>
        <v>22832</v>
      </c>
      <c r="G82" s="4">
        <f>623.5*2</f>
        <v>1247</v>
      </c>
      <c r="H82" s="33">
        <f>389.5*2</f>
        <v>779</v>
      </c>
      <c r="I82" s="33">
        <v>0</v>
      </c>
      <c r="J82" s="33">
        <v>0</v>
      </c>
      <c r="K82" s="33">
        <v>3805.33</v>
      </c>
      <c r="L82" s="4">
        <f>2026.97+2623.91</f>
        <v>4650.88</v>
      </c>
      <c r="M82" s="4">
        <f>1312.84*2</f>
        <v>2625.68</v>
      </c>
      <c r="N82" s="35" t="s">
        <v>122</v>
      </c>
      <c r="O82" s="46" t="s">
        <v>14</v>
      </c>
    </row>
    <row r="83" spans="1:15" s="28" customFormat="1" x14ac:dyDescent="0.25">
      <c r="A83" s="45">
        <v>73</v>
      </c>
      <c r="B83" s="52" t="s">
        <v>12</v>
      </c>
      <c r="C83" s="35" t="s">
        <v>86</v>
      </c>
      <c r="D83" s="59" t="s">
        <v>131</v>
      </c>
      <c r="E83" s="7">
        <v>17</v>
      </c>
      <c r="F83" s="4">
        <f>12864.5*2</f>
        <v>25729</v>
      </c>
      <c r="G83" s="4">
        <f>643*2</f>
        <v>1286</v>
      </c>
      <c r="H83" s="4">
        <f>428.5*2</f>
        <v>857</v>
      </c>
      <c r="I83" s="4">
        <v>0</v>
      </c>
      <c r="J83" s="4">
        <f>205.36*2</f>
        <v>410.72</v>
      </c>
      <c r="K83" s="4">
        <v>4288.17</v>
      </c>
      <c r="L83" s="4">
        <f>2429.72+3140.22</f>
        <v>5569.94</v>
      </c>
      <c r="M83" s="4">
        <f>1503.03*2</f>
        <v>3006.06</v>
      </c>
      <c r="N83" s="35" t="s">
        <v>29</v>
      </c>
      <c r="O83" s="46" t="s">
        <v>14</v>
      </c>
    </row>
    <row r="84" spans="1:15" s="28" customFormat="1" x14ac:dyDescent="0.25">
      <c r="A84" s="45">
        <v>74</v>
      </c>
      <c r="B84" s="52" t="s">
        <v>17</v>
      </c>
      <c r="C84" s="35" t="s">
        <v>87</v>
      </c>
      <c r="D84" s="59" t="s">
        <v>131</v>
      </c>
      <c r="E84" s="7">
        <v>11</v>
      </c>
      <c r="F84" s="4">
        <f>7366.5*2</f>
        <v>14733</v>
      </c>
      <c r="G84" s="4">
        <f>546.5*2</f>
        <v>1093</v>
      </c>
      <c r="H84" s="4">
        <f>339.5*2</f>
        <v>679</v>
      </c>
      <c r="I84" s="4">
        <v>0</v>
      </c>
      <c r="J84" s="4">
        <f>205.36*2</f>
        <v>410.72</v>
      </c>
      <c r="K84" s="4">
        <v>2455.5</v>
      </c>
      <c r="L84" s="4">
        <f>1168.42+1422.21</f>
        <v>2590.63</v>
      </c>
      <c r="M84" s="4">
        <f>870.76*2</f>
        <v>1741.52</v>
      </c>
      <c r="N84" s="35" t="s">
        <v>21</v>
      </c>
      <c r="O84" s="46" t="s">
        <v>14</v>
      </c>
    </row>
    <row r="85" spans="1:15" s="28" customFormat="1" x14ac:dyDescent="0.25">
      <c r="A85" s="45">
        <v>75</v>
      </c>
      <c r="B85" s="59" t="s">
        <v>12</v>
      </c>
      <c r="C85" s="35" t="s">
        <v>140</v>
      </c>
      <c r="D85" s="59" t="s">
        <v>130</v>
      </c>
      <c r="E85" s="7">
        <v>11</v>
      </c>
      <c r="F85" s="4">
        <f>7366.5*2</f>
        <v>14733</v>
      </c>
      <c r="G85" s="4">
        <f>546.5*2</f>
        <v>1093</v>
      </c>
      <c r="H85" s="33">
        <f>339.5*2</f>
        <v>679</v>
      </c>
      <c r="I85" s="33">
        <v>0</v>
      </c>
      <c r="J85" s="33">
        <v>0</v>
      </c>
      <c r="K85" s="33"/>
      <c r="L85" s="4">
        <f>1124.56*2</f>
        <v>2249.12</v>
      </c>
      <c r="M85" s="4">
        <f>847.15*2</f>
        <v>1694.3</v>
      </c>
      <c r="N85" s="35" t="s">
        <v>125</v>
      </c>
      <c r="O85" s="46" t="s">
        <v>14</v>
      </c>
    </row>
    <row r="86" spans="1:15" s="28" customFormat="1" x14ac:dyDescent="0.25">
      <c r="A86" s="45">
        <v>76</v>
      </c>
      <c r="B86" s="52" t="s">
        <v>12</v>
      </c>
      <c r="C86" s="35" t="s">
        <v>140</v>
      </c>
      <c r="D86" s="59" t="s">
        <v>131</v>
      </c>
      <c r="E86" s="83">
        <v>11</v>
      </c>
      <c r="F86" s="4">
        <f>7366.5*2</f>
        <v>14733</v>
      </c>
      <c r="G86" s="4">
        <f>546.5*2</f>
        <v>1093</v>
      </c>
      <c r="H86" s="4">
        <f>339.5*2</f>
        <v>679</v>
      </c>
      <c r="I86" s="4">
        <v>0</v>
      </c>
      <c r="J86" s="4">
        <v>0</v>
      </c>
      <c r="K86" s="4"/>
      <c r="L86" s="4">
        <f>1124.56*2</f>
        <v>2249.12</v>
      </c>
      <c r="M86" s="4">
        <f>847.15*2</f>
        <v>1694.3</v>
      </c>
      <c r="N86" s="35" t="s">
        <v>119</v>
      </c>
      <c r="O86" s="46" t="s">
        <v>120</v>
      </c>
    </row>
    <row r="87" spans="1:15" s="28" customFormat="1" x14ac:dyDescent="0.25">
      <c r="A87" s="45">
        <v>77</v>
      </c>
      <c r="B87" s="52" t="s">
        <v>12</v>
      </c>
      <c r="C87" s="35" t="s">
        <v>140</v>
      </c>
      <c r="D87" s="59" t="s">
        <v>131</v>
      </c>
      <c r="E87" s="7">
        <v>11</v>
      </c>
      <c r="F87" s="4">
        <f>7366.5*2</f>
        <v>14733</v>
      </c>
      <c r="G87" s="4">
        <f>546.5*2</f>
        <v>1093</v>
      </c>
      <c r="H87" s="4">
        <f>339.5*2</f>
        <v>679</v>
      </c>
      <c r="I87" s="4">
        <v>0</v>
      </c>
      <c r="J87" s="4">
        <v>0</v>
      </c>
      <c r="K87" s="4"/>
      <c r="L87" s="4">
        <f>1124.56*2</f>
        <v>2249.12</v>
      </c>
      <c r="M87" s="4">
        <f>847.15*2</f>
        <v>1694.3</v>
      </c>
      <c r="N87" s="35" t="s">
        <v>18</v>
      </c>
      <c r="O87" s="46" t="s">
        <v>14</v>
      </c>
    </row>
    <row r="88" spans="1:15" s="28" customFormat="1" x14ac:dyDescent="0.25">
      <c r="A88" s="45">
        <v>78</v>
      </c>
      <c r="B88" s="52" t="s">
        <v>12</v>
      </c>
      <c r="C88" s="35" t="s">
        <v>140</v>
      </c>
      <c r="D88" s="59" t="s">
        <v>131</v>
      </c>
      <c r="E88" s="7">
        <v>17</v>
      </c>
      <c r="F88" s="4">
        <f>12864.5*2</f>
        <v>25729</v>
      </c>
      <c r="G88" s="4">
        <f>643*2</f>
        <v>1286</v>
      </c>
      <c r="H88" s="4">
        <f>428.5*2</f>
        <v>857</v>
      </c>
      <c r="I88" s="4">
        <v>0</v>
      </c>
      <c r="J88" s="4">
        <v>0</v>
      </c>
      <c r="K88" s="4"/>
      <c r="L88" s="4">
        <f>2381.42*2</f>
        <v>4762.84</v>
      </c>
      <c r="M88" s="4">
        <f>1479.42*2</f>
        <v>2958.84</v>
      </c>
      <c r="N88" s="35" t="s">
        <v>29</v>
      </c>
      <c r="O88" s="46" t="s">
        <v>14</v>
      </c>
    </row>
    <row r="89" spans="1:15" s="28" customFormat="1" x14ac:dyDescent="0.25">
      <c r="A89" s="45">
        <v>79</v>
      </c>
      <c r="B89" s="52" t="s">
        <v>12</v>
      </c>
      <c r="C89" s="35" t="s">
        <v>140</v>
      </c>
      <c r="D89" s="59" t="s">
        <v>131</v>
      </c>
      <c r="E89" s="7">
        <v>16</v>
      </c>
      <c r="F89" s="4">
        <f>11416*2</f>
        <v>22832</v>
      </c>
      <c r="G89" s="4">
        <f>623.5*2</f>
        <v>1247</v>
      </c>
      <c r="H89" s="4">
        <f>389.5*2</f>
        <v>779</v>
      </c>
      <c r="I89" s="4">
        <v>0</v>
      </c>
      <c r="J89" s="4">
        <v>0</v>
      </c>
      <c r="K89" s="4"/>
      <c r="L89" s="4">
        <f>2063.19*2</f>
        <v>4126.38</v>
      </c>
      <c r="M89" s="4">
        <f>1330.55*2</f>
        <v>2661.1</v>
      </c>
      <c r="N89" s="35" t="s">
        <v>16</v>
      </c>
      <c r="O89" s="46" t="s">
        <v>14</v>
      </c>
    </row>
    <row r="90" spans="1:15" s="28" customFormat="1" x14ac:dyDescent="0.25">
      <c r="A90" s="45">
        <v>80</v>
      </c>
      <c r="B90" s="52" t="s">
        <v>12</v>
      </c>
      <c r="C90" s="35" t="s">
        <v>88</v>
      </c>
      <c r="D90" s="59" t="s">
        <v>131</v>
      </c>
      <c r="E90" s="7">
        <v>17</v>
      </c>
      <c r="F90" s="4">
        <f>12864.5*2</f>
        <v>25729</v>
      </c>
      <c r="G90" s="4">
        <f>643*2</f>
        <v>1286</v>
      </c>
      <c r="H90" s="4">
        <f>428.5*2</f>
        <v>857</v>
      </c>
      <c r="I90" s="4">
        <v>0</v>
      </c>
      <c r="J90" s="4">
        <f>256.7*2</f>
        <v>513.4</v>
      </c>
      <c r="K90" s="4">
        <v>4288.17</v>
      </c>
      <c r="L90" s="4">
        <f>2441.8+3152.29</f>
        <v>5594.09</v>
      </c>
      <c r="M90" s="4">
        <f>1508.94*2</f>
        <v>3017.88</v>
      </c>
      <c r="N90" s="35" t="s">
        <v>29</v>
      </c>
      <c r="O90" s="46" t="s">
        <v>14</v>
      </c>
    </row>
    <row r="91" spans="1:15" s="28" customFormat="1" x14ac:dyDescent="0.25">
      <c r="A91" s="45">
        <v>81</v>
      </c>
      <c r="B91" s="52" t="s">
        <v>17</v>
      </c>
      <c r="C91" s="35" t="s">
        <v>89</v>
      </c>
      <c r="D91" s="59" t="s">
        <v>131</v>
      </c>
      <c r="E91" s="7">
        <v>8</v>
      </c>
      <c r="F91" s="4">
        <f>6503*2</f>
        <v>13006</v>
      </c>
      <c r="G91" s="4">
        <f>470.5*2</f>
        <v>941</v>
      </c>
      <c r="H91" s="4">
        <f>322.5*2</f>
        <v>645</v>
      </c>
      <c r="I91" s="4">
        <v>0</v>
      </c>
      <c r="J91" s="4">
        <v>0</v>
      </c>
      <c r="K91" s="4">
        <v>2167.67</v>
      </c>
      <c r="L91" s="4">
        <f>920.25+1112.56</f>
        <v>2032.81</v>
      </c>
      <c r="M91" s="4">
        <f>747.85*2</f>
        <v>1495.7</v>
      </c>
      <c r="N91" s="35" t="s">
        <v>65</v>
      </c>
      <c r="O91" s="46" t="s">
        <v>14</v>
      </c>
    </row>
    <row r="92" spans="1:15" s="28" customFormat="1" x14ac:dyDescent="0.25">
      <c r="A92" s="45">
        <v>82</v>
      </c>
      <c r="B92" s="52" t="s">
        <v>12</v>
      </c>
      <c r="C92" s="35" t="s">
        <v>90</v>
      </c>
      <c r="D92" s="59" t="s">
        <v>131</v>
      </c>
      <c r="E92" s="7">
        <v>22</v>
      </c>
      <c r="F92" s="4">
        <f>21109.5*2</f>
        <v>42219</v>
      </c>
      <c r="G92" s="4">
        <f>932.5*2</f>
        <v>1865</v>
      </c>
      <c r="H92" s="4">
        <f>672.5*2</f>
        <v>1345</v>
      </c>
      <c r="I92" s="4">
        <v>0</v>
      </c>
      <c r="J92" s="4">
        <f>205.36*2</f>
        <v>410.72</v>
      </c>
      <c r="K92" s="4">
        <v>7036.5</v>
      </c>
      <c r="L92" s="4">
        <f>4758.93+6489.68</f>
        <v>11248.61</v>
      </c>
      <c r="M92" s="4">
        <f>2451.21*2</f>
        <v>4902.42</v>
      </c>
      <c r="N92" s="35" t="s">
        <v>40</v>
      </c>
      <c r="O92" s="46" t="s">
        <v>14</v>
      </c>
    </row>
    <row r="93" spans="1:15" s="28" customFormat="1" x14ac:dyDescent="0.25">
      <c r="A93" s="45">
        <v>83</v>
      </c>
      <c r="B93" s="52" t="s">
        <v>12</v>
      </c>
      <c r="C93" s="35" t="s">
        <v>91</v>
      </c>
      <c r="D93" s="59" t="s">
        <v>131</v>
      </c>
      <c r="E93" s="7">
        <v>16</v>
      </c>
      <c r="F93" s="4">
        <f>11416*2</f>
        <v>22832</v>
      </c>
      <c r="G93" s="4">
        <f>623.5*2</f>
        <v>1247</v>
      </c>
      <c r="H93" s="4">
        <f>389.5*2</f>
        <v>779</v>
      </c>
      <c r="I93" s="4">
        <v>0</v>
      </c>
      <c r="J93" s="4">
        <f>154.02*2</f>
        <v>308.04000000000002</v>
      </c>
      <c r="K93" s="4">
        <v>3805.33</v>
      </c>
      <c r="L93" s="4">
        <f>2063.19+2660.13</f>
        <v>4723.32</v>
      </c>
      <c r="M93" s="4">
        <f>1330.55*2</f>
        <v>2661.1</v>
      </c>
      <c r="N93" s="35" t="s">
        <v>16</v>
      </c>
      <c r="O93" s="46" t="s">
        <v>14</v>
      </c>
    </row>
    <row r="94" spans="1:15" s="28" customFormat="1" x14ac:dyDescent="0.25">
      <c r="A94" s="45">
        <v>84</v>
      </c>
      <c r="B94" s="52" t="s">
        <v>12</v>
      </c>
      <c r="C94" s="35" t="s">
        <v>92</v>
      </c>
      <c r="D94" s="59" t="s">
        <v>131</v>
      </c>
      <c r="E94" s="7">
        <v>17</v>
      </c>
      <c r="F94" s="4">
        <f>12864.5*2</f>
        <v>25729</v>
      </c>
      <c r="G94" s="4">
        <f>643*2</f>
        <v>1286</v>
      </c>
      <c r="H94" s="4">
        <f>428.5*2</f>
        <v>857</v>
      </c>
      <c r="I94" s="4">
        <v>0</v>
      </c>
      <c r="J94" s="4">
        <f>154.02*2</f>
        <v>308.04000000000002</v>
      </c>
      <c r="K94" s="4">
        <v>4288.17</v>
      </c>
      <c r="L94" s="4">
        <f>2417.65+3128.14</f>
        <v>5545.79</v>
      </c>
      <c r="M94" s="4">
        <f>1497.13*2</f>
        <v>2994.26</v>
      </c>
      <c r="N94" s="35" t="s">
        <v>29</v>
      </c>
      <c r="O94" s="46" t="s">
        <v>14</v>
      </c>
    </row>
    <row r="95" spans="1:15" s="28" customFormat="1" x14ac:dyDescent="0.25">
      <c r="A95" s="45">
        <v>85</v>
      </c>
      <c r="B95" s="52" t="s">
        <v>17</v>
      </c>
      <c r="C95" s="35" t="s">
        <v>93</v>
      </c>
      <c r="D95" s="59" t="s">
        <v>131</v>
      </c>
      <c r="E95" s="7">
        <v>11</v>
      </c>
      <c r="F95" s="4">
        <f>7366.5*2</f>
        <v>14733</v>
      </c>
      <c r="G95" s="4">
        <f>546.5*2</f>
        <v>1093</v>
      </c>
      <c r="H95" s="4">
        <f>339.5*2</f>
        <v>679</v>
      </c>
      <c r="I95" s="4">
        <v>0</v>
      </c>
      <c r="J95" s="4">
        <f>154.02*2</f>
        <v>308.04000000000002</v>
      </c>
      <c r="K95" s="4">
        <v>2455.5</v>
      </c>
      <c r="L95" s="4">
        <f>1157.46+1411.25</f>
        <v>2568.71</v>
      </c>
      <c r="M95" s="4">
        <f>864.86*2</f>
        <v>1729.72</v>
      </c>
      <c r="N95" s="35" t="s">
        <v>24</v>
      </c>
      <c r="O95" s="46" t="s">
        <v>14</v>
      </c>
    </row>
    <row r="96" spans="1:15" s="28" customFormat="1" ht="15.75" thickBot="1" x14ac:dyDescent="0.3">
      <c r="A96" s="107">
        <v>86</v>
      </c>
      <c r="B96" s="87" t="s">
        <v>12</v>
      </c>
      <c r="C96" s="41" t="s">
        <v>94</v>
      </c>
      <c r="D96" s="88" t="s">
        <v>130</v>
      </c>
      <c r="E96" s="36">
        <v>22</v>
      </c>
      <c r="F96" s="34">
        <f>21140*2</f>
        <v>42280</v>
      </c>
      <c r="G96" s="34">
        <f>932.5*2</f>
        <v>1865</v>
      </c>
      <c r="H96" s="34">
        <f>672.5*2</f>
        <v>1345</v>
      </c>
      <c r="I96" s="34">
        <v>0</v>
      </c>
      <c r="J96" s="34">
        <f>256.7*2</f>
        <v>513.4</v>
      </c>
      <c r="K96" s="34">
        <v>7046.67</v>
      </c>
      <c r="L96" s="34">
        <f>4783.48+6517.28</f>
        <v>11300.759999999998</v>
      </c>
      <c r="M96" s="34">
        <f>2460.62*2</f>
        <v>4921.24</v>
      </c>
      <c r="N96" s="41" t="s">
        <v>40</v>
      </c>
      <c r="O96" s="48" t="s">
        <v>14</v>
      </c>
    </row>
    <row r="97" spans="1:50" x14ac:dyDescent="0.25">
      <c r="A97" s="28"/>
      <c r="B97" s="60"/>
      <c r="C97" s="28"/>
      <c r="D97" s="60"/>
      <c r="E97" s="5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1:50" x14ac:dyDescent="0.25">
      <c r="A98" s="31"/>
      <c r="B98" s="60"/>
      <c r="C98" s="28"/>
      <c r="D98" s="60"/>
      <c r="E98" s="53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1:50" x14ac:dyDescent="0.25">
      <c r="F99" s="37"/>
    </row>
    <row r="105" spans="1:50" x14ac:dyDescent="0.25">
      <c r="A105" s="28"/>
      <c r="B105" s="60"/>
      <c r="C105" s="28"/>
      <c r="D105" s="60"/>
      <c r="E105" s="5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</row>
    <row r="106" spans="1:50" x14ac:dyDescent="0.25">
      <c r="A106" s="28"/>
      <c r="B106" s="60"/>
      <c r="C106" s="30"/>
      <c r="D106" s="64"/>
      <c r="E106" s="5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</row>
    <row r="107" spans="1:50" x14ac:dyDescent="0.25">
      <c r="A107" s="28"/>
      <c r="B107" s="60"/>
      <c r="C107" s="28"/>
      <c r="D107" s="60"/>
      <c r="E107" s="5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</row>
    <row r="108" spans="1:50" x14ac:dyDescent="0.25">
      <c r="A108" s="28"/>
      <c r="B108" s="60"/>
      <c r="C108" s="28"/>
      <c r="D108" s="60"/>
      <c r="E108" s="5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</row>
    <row r="109" spans="1:50" x14ac:dyDescent="0.25">
      <c r="A109" s="28"/>
      <c r="B109" s="60"/>
      <c r="C109" s="28"/>
      <c r="D109" s="60"/>
      <c r="E109" s="5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</row>
    <row r="110" spans="1:50" x14ac:dyDescent="0.25">
      <c r="A110" s="28"/>
      <c r="B110" s="60"/>
      <c r="C110" s="28"/>
      <c r="D110" s="60"/>
      <c r="E110" s="5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</row>
    <row r="111" spans="1:50" x14ac:dyDescent="0.25">
      <c r="A111" s="28"/>
      <c r="B111" s="60"/>
      <c r="C111" s="28"/>
      <c r="D111" s="60"/>
      <c r="E111" s="5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</row>
    <row r="112" spans="1:50" x14ac:dyDescent="0.25">
      <c r="A112" s="28"/>
      <c r="B112" s="60"/>
      <c r="C112" s="28"/>
      <c r="D112" s="60"/>
      <c r="E112" s="53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</row>
    <row r="113" spans="1:50" x14ac:dyDescent="0.25">
      <c r="A113" s="28"/>
      <c r="B113" s="60"/>
      <c r="C113" s="28"/>
      <c r="D113" s="60"/>
      <c r="E113" s="53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x14ac:dyDescent="0.25">
      <c r="A114" s="28"/>
      <c r="B114" s="60"/>
      <c r="C114" s="28"/>
      <c r="D114" s="60"/>
      <c r="E114" s="53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x14ac:dyDescent="0.25">
      <c r="A115" s="28"/>
      <c r="B115" s="60"/>
      <c r="C115" s="28"/>
      <c r="D115" s="60"/>
      <c r="E115" s="53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</row>
    <row r="116" spans="1:50" x14ac:dyDescent="0.25">
      <c r="A116" s="28"/>
      <c r="B116" s="60"/>
      <c r="C116" s="28"/>
      <c r="D116" s="60"/>
      <c r="E116" s="53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</row>
    <row r="117" spans="1:50" x14ac:dyDescent="0.25">
      <c r="A117" s="28"/>
      <c r="B117" s="60"/>
      <c r="C117" s="28"/>
      <c r="D117" s="60"/>
      <c r="E117" s="53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</row>
    <row r="118" spans="1:50" x14ac:dyDescent="0.25">
      <c r="A118" s="28"/>
      <c r="B118" s="60"/>
      <c r="C118" s="28"/>
      <c r="D118" s="60"/>
      <c r="E118" s="53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</row>
    <row r="119" spans="1:50" x14ac:dyDescent="0.25">
      <c r="A119" s="28"/>
      <c r="B119" s="60"/>
      <c r="C119" s="28"/>
      <c r="D119" s="60"/>
      <c r="E119" s="53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</row>
    <row r="120" spans="1:50" x14ac:dyDescent="0.25">
      <c r="A120" s="28"/>
      <c r="B120" s="60"/>
      <c r="C120" s="28"/>
      <c r="D120" s="60"/>
      <c r="E120" s="53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</row>
    <row r="121" spans="1:50" x14ac:dyDescent="0.25">
      <c r="A121" s="28"/>
      <c r="B121" s="60"/>
      <c r="C121" s="28"/>
      <c r="D121" s="60"/>
      <c r="E121" s="53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</row>
    <row r="122" spans="1:50" x14ac:dyDescent="0.25">
      <c r="A122" s="28"/>
      <c r="B122" s="60"/>
      <c r="C122" s="28"/>
      <c r="D122" s="60"/>
      <c r="E122" s="53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</row>
    <row r="123" spans="1:50" x14ac:dyDescent="0.25">
      <c r="A123" s="28"/>
      <c r="B123" s="60"/>
      <c r="C123" s="28"/>
      <c r="D123" s="60"/>
      <c r="E123" s="5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</row>
    <row r="124" spans="1:50" x14ac:dyDescent="0.25">
      <c r="A124" s="28"/>
      <c r="B124" s="60"/>
      <c r="C124" s="28"/>
      <c r="D124" s="60"/>
      <c r="E124" s="53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</row>
    <row r="125" spans="1:50" x14ac:dyDescent="0.25">
      <c r="A125" s="28"/>
      <c r="B125" s="60"/>
      <c r="C125" s="28"/>
      <c r="D125" s="60"/>
      <c r="E125" s="5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</row>
    <row r="126" spans="1:50" x14ac:dyDescent="0.25">
      <c r="A126" s="28"/>
      <c r="B126" s="60"/>
      <c r="C126" s="28"/>
      <c r="D126" s="60"/>
      <c r="E126" s="53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</row>
    <row r="127" spans="1:50" x14ac:dyDescent="0.25">
      <c r="A127" s="28"/>
      <c r="B127" s="60"/>
      <c r="C127" s="28"/>
      <c r="D127" s="60"/>
      <c r="E127" s="53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</row>
    <row r="128" spans="1:50" x14ac:dyDescent="0.25">
      <c r="A128" s="28"/>
      <c r="B128" s="60"/>
      <c r="C128" s="28"/>
      <c r="D128" s="60"/>
      <c r="E128" s="53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</row>
    <row r="129" spans="1:50" x14ac:dyDescent="0.25">
      <c r="A129" s="28"/>
      <c r="B129" s="60"/>
      <c r="C129" s="28"/>
      <c r="D129" s="60"/>
      <c r="E129" s="53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</row>
    <row r="130" spans="1:50" x14ac:dyDescent="0.25">
      <c r="A130" s="28"/>
      <c r="B130" s="60"/>
      <c r="C130" s="28"/>
      <c r="D130" s="60"/>
      <c r="E130" s="53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</row>
    <row r="131" spans="1:50" x14ac:dyDescent="0.25">
      <c r="A131" s="28"/>
      <c r="B131" s="60"/>
      <c r="C131" s="28"/>
      <c r="D131" s="60"/>
      <c r="E131" s="53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</row>
    <row r="132" spans="1:50" x14ac:dyDescent="0.25">
      <c r="A132" s="28"/>
      <c r="B132" s="60"/>
      <c r="C132" s="28"/>
      <c r="D132" s="60"/>
      <c r="E132" s="53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</row>
    <row r="133" spans="1:50" x14ac:dyDescent="0.25">
      <c r="A133" s="28"/>
      <c r="B133" s="60"/>
      <c r="C133" s="28"/>
      <c r="D133" s="60"/>
      <c r="E133" s="53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</row>
    <row r="134" spans="1:50" x14ac:dyDescent="0.25">
      <c r="A134" s="28"/>
      <c r="B134" s="60"/>
      <c r="C134" s="28"/>
      <c r="D134" s="60"/>
      <c r="E134" s="53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</row>
    <row r="135" spans="1:50" x14ac:dyDescent="0.25">
      <c r="A135" s="28"/>
      <c r="B135" s="60"/>
      <c r="C135" s="28"/>
      <c r="D135" s="60"/>
      <c r="E135" s="53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</row>
    <row r="136" spans="1:50" x14ac:dyDescent="0.25">
      <c r="A136" s="28"/>
      <c r="B136" s="60"/>
      <c r="C136" s="28"/>
      <c r="D136" s="60"/>
      <c r="E136" s="53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</row>
    <row r="137" spans="1:50" x14ac:dyDescent="0.25">
      <c r="A137" s="28"/>
      <c r="B137" s="60"/>
      <c r="C137" s="28"/>
      <c r="D137" s="60"/>
      <c r="E137" s="5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</row>
    <row r="138" spans="1:50" x14ac:dyDescent="0.25">
      <c r="A138" s="28"/>
      <c r="B138" s="60"/>
      <c r="C138" s="28"/>
      <c r="D138" s="60"/>
      <c r="E138" s="53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</row>
    <row r="139" spans="1:50" x14ac:dyDescent="0.25">
      <c r="A139" s="28"/>
      <c r="B139" s="60"/>
      <c r="C139" s="28"/>
      <c r="D139" s="60"/>
      <c r="E139" s="53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</row>
    <row r="140" spans="1:50" x14ac:dyDescent="0.25">
      <c r="A140" s="28"/>
      <c r="B140" s="60"/>
      <c r="C140" s="28"/>
      <c r="D140" s="60"/>
      <c r="E140" s="53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</row>
    <row r="141" spans="1:50" x14ac:dyDescent="0.25">
      <c r="A141" s="28"/>
      <c r="B141" s="60"/>
      <c r="C141" s="28"/>
      <c r="D141" s="60"/>
      <c r="E141" s="53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1:50" x14ac:dyDescent="0.25">
      <c r="A142" s="28"/>
      <c r="B142" s="60"/>
      <c r="C142" s="28"/>
      <c r="D142" s="60"/>
      <c r="E142" s="53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1:50" x14ac:dyDescent="0.25">
      <c r="A143" s="28"/>
      <c r="B143" s="60"/>
      <c r="C143" s="28"/>
      <c r="D143" s="60"/>
      <c r="E143" s="53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</row>
    <row r="144" spans="1:50" x14ac:dyDescent="0.25">
      <c r="A144" s="28"/>
      <c r="B144" s="60"/>
      <c r="C144" s="28"/>
      <c r="D144" s="60"/>
      <c r="E144" s="53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</row>
    <row r="145" spans="1:50" x14ac:dyDescent="0.25">
      <c r="A145" s="28"/>
      <c r="B145" s="60"/>
      <c r="C145" s="28"/>
      <c r="D145" s="60"/>
      <c r="E145" s="53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</row>
    <row r="146" spans="1:50" x14ac:dyDescent="0.25">
      <c r="A146" s="28"/>
      <c r="B146" s="60"/>
      <c r="C146" s="28"/>
      <c r="D146" s="60"/>
      <c r="E146" s="5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</row>
    <row r="147" spans="1:50" x14ac:dyDescent="0.25">
      <c r="A147" s="28"/>
      <c r="B147" s="60"/>
      <c r="C147" s="28"/>
      <c r="D147" s="60"/>
      <c r="E147" s="53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</row>
    <row r="148" spans="1:50" x14ac:dyDescent="0.25">
      <c r="A148" s="28"/>
      <c r="B148" s="60"/>
      <c r="C148" s="28"/>
      <c r="D148" s="60"/>
      <c r="E148" s="53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</row>
    <row r="149" spans="1:50" x14ac:dyDescent="0.25">
      <c r="A149" s="28"/>
      <c r="B149" s="60"/>
      <c r="C149" s="28"/>
      <c r="D149" s="60"/>
      <c r="E149" s="5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</row>
    <row r="150" spans="1:50" x14ac:dyDescent="0.25">
      <c r="A150" s="28"/>
      <c r="B150" s="60"/>
      <c r="C150" s="28"/>
      <c r="D150" s="60"/>
      <c r="E150" s="5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</row>
    <row r="151" spans="1:50" x14ac:dyDescent="0.25">
      <c r="A151" s="28"/>
      <c r="B151" s="60"/>
      <c r="C151" s="28"/>
      <c r="D151" s="60"/>
      <c r="E151" s="53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</row>
    <row r="152" spans="1:50" x14ac:dyDescent="0.25">
      <c r="A152" s="28"/>
      <c r="B152" s="60"/>
      <c r="C152" s="28"/>
      <c r="D152" s="60"/>
      <c r="E152" s="53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</row>
    <row r="153" spans="1:50" x14ac:dyDescent="0.25">
      <c r="A153" s="28"/>
      <c r="B153" s="60"/>
      <c r="C153" s="28"/>
      <c r="D153" s="60"/>
      <c r="E153" s="5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</row>
    <row r="154" spans="1:50" x14ac:dyDescent="0.25">
      <c r="A154" s="28"/>
      <c r="B154" s="60"/>
      <c r="C154" s="28"/>
      <c r="D154" s="60"/>
      <c r="E154" s="53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</row>
    <row r="155" spans="1:50" x14ac:dyDescent="0.25">
      <c r="A155" s="28"/>
      <c r="B155" s="60"/>
      <c r="C155" s="28"/>
      <c r="D155" s="60"/>
      <c r="E155" s="53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</row>
    <row r="156" spans="1:50" x14ac:dyDescent="0.25">
      <c r="A156" s="28"/>
      <c r="B156" s="60"/>
      <c r="C156" s="28"/>
      <c r="D156" s="60"/>
      <c r="E156" s="53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</row>
    <row r="157" spans="1:50" x14ac:dyDescent="0.25">
      <c r="A157" s="28"/>
      <c r="B157" s="60"/>
      <c r="C157" s="28"/>
      <c r="D157" s="60"/>
      <c r="E157" s="5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</row>
    <row r="158" spans="1:50" x14ac:dyDescent="0.25">
      <c r="A158" s="28"/>
      <c r="B158" s="60"/>
      <c r="C158" s="28"/>
      <c r="D158" s="60"/>
      <c r="E158" s="53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</row>
    <row r="159" spans="1:50" x14ac:dyDescent="0.25">
      <c r="A159" s="28"/>
      <c r="B159" s="60"/>
      <c r="C159" s="28"/>
      <c r="D159" s="60"/>
      <c r="E159" s="53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</row>
    <row r="160" spans="1:50" x14ac:dyDescent="0.25">
      <c r="A160" s="28"/>
      <c r="B160" s="60"/>
      <c r="C160" s="28"/>
      <c r="D160" s="60"/>
      <c r="E160" s="53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</row>
    <row r="161" spans="1:50" x14ac:dyDescent="0.25">
      <c r="A161" s="28"/>
      <c r="B161" s="60"/>
      <c r="C161" s="28"/>
      <c r="D161" s="60"/>
      <c r="E161" s="5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</row>
    <row r="162" spans="1:50" x14ac:dyDescent="0.25">
      <c r="A162" s="28"/>
      <c r="B162" s="60"/>
      <c r="C162" s="28"/>
      <c r="D162" s="60"/>
      <c r="E162" s="53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</row>
    <row r="163" spans="1:50" x14ac:dyDescent="0.25">
      <c r="A163" s="28"/>
      <c r="B163" s="60"/>
      <c r="C163" s="28"/>
      <c r="D163" s="60"/>
      <c r="E163" s="53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</row>
    <row r="164" spans="1:50" x14ac:dyDescent="0.25">
      <c r="A164" s="28"/>
      <c r="B164" s="60"/>
      <c r="C164" s="28"/>
      <c r="D164" s="60"/>
      <c r="E164" s="5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</row>
    <row r="165" spans="1:50" x14ac:dyDescent="0.25">
      <c r="A165" s="28"/>
      <c r="B165" s="60"/>
      <c r="C165" s="28"/>
      <c r="D165" s="60"/>
      <c r="E165" s="53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</row>
    <row r="166" spans="1:50" x14ac:dyDescent="0.25">
      <c r="A166" s="28"/>
      <c r="B166" s="60"/>
      <c r="C166" s="28"/>
      <c r="D166" s="60"/>
      <c r="E166" s="53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</row>
    <row r="167" spans="1:50" x14ac:dyDescent="0.25">
      <c r="A167" s="28"/>
      <c r="B167" s="60"/>
      <c r="C167" s="28"/>
      <c r="D167" s="60"/>
      <c r="E167" s="5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</row>
    <row r="168" spans="1:50" x14ac:dyDescent="0.25">
      <c r="A168" s="28"/>
      <c r="B168" s="60"/>
      <c r="C168" s="28"/>
      <c r="D168" s="60"/>
      <c r="E168" s="53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</row>
    <row r="169" spans="1:50" x14ac:dyDescent="0.25">
      <c r="A169" s="28"/>
      <c r="B169" s="60"/>
      <c r="C169" s="28"/>
      <c r="D169" s="60"/>
      <c r="E169" s="5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</row>
    <row r="170" spans="1:50" x14ac:dyDescent="0.25">
      <c r="A170" s="28"/>
      <c r="B170" s="60"/>
      <c r="C170" s="28"/>
      <c r="D170" s="60"/>
      <c r="E170" s="5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</row>
    <row r="171" spans="1:50" x14ac:dyDescent="0.25">
      <c r="A171" s="28"/>
      <c r="B171" s="60"/>
      <c r="C171" s="28"/>
      <c r="D171" s="60"/>
      <c r="E171" s="5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</row>
    <row r="172" spans="1:50" x14ac:dyDescent="0.25">
      <c r="A172" s="28"/>
      <c r="B172" s="60"/>
      <c r="C172" s="28"/>
      <c r="D172" s="60"/>
      <c r="E172" s="53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</row>
    <row r="173" spans="1:50" x14ac:dyDescent="0.25">
      <c r="A173" s="28"/>
      <c r="B173" s="60"/>
      <c r="C173" s="28"/>
      <c r="D173" s="60"/>
      <c r="E173" s="53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</row>
    <row r="174" spans="1:50" x14ac:dyDescent="0.25">
      <c r="A174" s="28"/>
      <c r="B174" s="60"/>
      <c r="C174" s="28"/>
      <c r="D174" s="60"/>
      <c r="E174" s="53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</row>
    <row r="175" spans="1:50" x14ac:dyDescent="0.25">
      <c r="A175" s="28"/>
      <c r="B175" s="60"/>
      <c r="C175" s="28"/>
      <c r="D175" s="60"/>
      <c r="E175" s="5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</row>
    <row r="176" spans="1:50" x14ac:dyDescent="0.25">
      <c r="A176" s="28"/>
      <c r="B176" s="60"/>
      <c r="C176" s="28"/>
      <c r="D176" s="60"/>
      <c r="E176" s="53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</row>
    <row r="177" spans="1:50" x14ac:dyDescent="0.25">
      <c r="A177" s="28"/>
      <c r="B177" s="60"/>
      <c r="C177" s="28"/>
      <c r="D177" s="60"/>
      <c r="E177" s="53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</row>
    <row r="178" spans="1:50" x14ac:dyDescent="0.25">
      <c r="A178" s="28"/>
      <c r="B178" s="60"/>
      <c r="C178" s="28"/>
      <c r="D178" s="60"/>
      <c r="E178" s="5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</row>
    <row r="179" spans="1:50" x14ac:dyDescent="0.25">
      <c r="A179" s="28"/>
      <c r="B179" s="60"/>
      <c r="C179" s="28"/>
      <c r="D179" s="60"/>
      <c r="E179" s="53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</row>
    <row r="180" spans="1:50" x14ac:dyDescent="0.25">
      <c r="A180" s="28"/>
      <c r="B180" s="60"/>
      <c r="C180" s="28"/>
      <c r="D180" s="60"/>
      <c r="E180" s="53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</row>
    <row r="181" spans="1:50" x14ac:dyDescent="0.25">
      <c r="A181" s="28"/>
      <c r="B181" s="60"/>
      <c r="C181" s="28"/>
      <c r="D181" s="60"/>
      <c r="E181" s="5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</row>
    <row r="182" spans="1:50" x14ac:dyDescent="0.25">
      <c r="A182" s="28"/>
      <c r="B182" s="60"/>
      <c r="C182" s="28"/>
      <c r="D182" s="60"/>
      <c r="E182" s="5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</row>
    <row r="183" spans="1:50" x14ac:dyDescent="0.25">
      <c r="A183" s="28"/>
      <c r="B183" s="60"/>
      <c r="C183" s="28"/>
      <c r="D183" s="60"/>
      <c r="E183" s="5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</row>
    <row r="184" spans="1:50" x14ac:dyDescent="0.25">
      <c r="A184" s="28"/>
      <c r="B184" s="60"/>
      <c r="C184" s="28"/>
      <c r="D184" s="60"/>
      <c r="E184" s="53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</row>
    <row r="185" spans="1:50" x14ac:dyDescent="0.25">
      <c r="A185" s="28"/>
      <c r="B185" s="60"/>
      <c r="C185" s="28"/>
      <c r="D185" s="60"/>
      <c r="E185" s="5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</row>
    <row r="186" spans="1:50" x14ac:dyDescent="0.25">
      <c r="A186" s="28"/>
      <c r="B186" s="60"/>
      <c r="C186" s="28"/>
      <c r="D186" s="60"/>
      <c r="E186" s="5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</row>
    <row r="187" spans="1:50" x14ac:dyDescent="0.25">
      <c r="A187" s="28"/>
      <c r="B187" s="60"/>
      <c r="C187" s="28"/>
      <c r="D187" s="60"/>
      <c r="E187" s="53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</row>
    <row r="188" spans="1:50" x14ac:dyDescent="0.25">
      <c r="A188" s="28"/>
      <c r="B188" s="60"/>
      <c r="C188" s="28"/>
      <c r="D188" s="60"/>
      <c r="E188" s="53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</row>
    <row r="189" spans="1:50" x14ac:dyDescent="0.25">
      <c r="A189" s="28"/>
      <c r="B189" s="60"/>
      <c r="C189" s="28"/>
      <c r="D189" s="60"/>
      <c r="E189" s="53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</row>
    <row r="190" spans="1:50" x14ac:dyDescent="0.25">
      <c r="A190" s="28"/>
      <c r="B190" s="60"/>
      <c r="C190" s="28"/>
      <c r="D190" s="60"/>
      <c r="E190" s="5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</row>
    <row r="191" spans="1:50" x14ac:dyDescent="0.25">
      <c r="A191" s="28"/>
      <c r="B191" s="60"/>
      <c r="C191" s="28"/>
      <c r="D191" s="60"/>
      <c r="E191" s="53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</row>
    <row r="192" spans="1:50" x14ac:dyDescent="0.25">
      <c r="A192" s="28"/>
      <c r="B192" s="60"/>
      <c r="C192" s="28"/>
      <c r="D192" s="60"/>
      <c r="E192" s="53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</row>
    <row r="193" spans="1:50" x14ac:dyDescent="0.25">
      <c r="A193" s="28"/>
      <c r="B193" s="60"/>
      <c r="C193" s="28"/>
      <c r="D193" s="60"/>
      <c r="E193" s="53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</row>
    <row r="194" spans="1:50" x14ac:dyDescent="0.25">
      <c r="A194" s="28"/>
      <c r="B194" s="60"/>
      <c r="C194" s="28"/>
      <c r="D194" s="60"/>
      <c r="E194" s="53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</row>
    <row r="195" spans="1:50" x14ac:dyDescent="0.25">
      <c r="A195" s="28"/>
      <c r="B195" s="60"/>
      <c r="C195" s="28"/>
      <c r="D195" s="60"/>
      <c r="E195" s="5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</row>
    <row r="196" spans="1:50" x14ac:dyDescent="0.25">
      <c r="A196" s="28"/>
      <c r="B196" s="60"/>
      <c r="C196" s="28"/>
      <c r="D196" s="60"/>
      <c r="E196" s="53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</row>
    <row r="197" spans="1:50" x14ac:dyDescent="0.25">
      <c r="A197" s="28"/>
      <c r="B197" s="60"/>
      <c r="C197" s="28"/>
      <c r="D197" s="60"/>
      <c r="E197" s="53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</row>
    <row r="198" spans="1:50" x14ac:dyDescent="0.25">
      <c r="A198" s="28"/>
      <c r="B198" s="60"/>
      <c r="C198" s="28"/>
      <c r="D198" s="60"/>
      <c r="E198" s="53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</row>
    <row r="199" spans="1:50" x14ac:dyDescent="0.25">
      <c r="A199" s="28"/>
      <c r="B199" s="60"/>
      <c r="C199" s="28"/>
      <c r="D199" s="60"/>
      <c r="E199" s="53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</row>
    <row r="200" spans="1:50" x14ac:dyDescent="0.25">
      <c r="A200" s="28"/>
      <c r="B200" s="60"/>
      <c r="C200" s="28"/>
      <c r="D200" s="60"/>
      <c r="E200" s="53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</row>
    <row r="201" spans="1:50" x14ac:dyDescent="0.25">
      <c r="A201" s="28"/>
      <c r="B201" s="60"/>
      <c r="C201" s="28"/>
      <c r="D201" s="60"/>
      <c r="E201" s="53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</row>
    <row r="202" spans="1:50" x14ac:dyDescent="0.25">
      <c r="A202" s="28"/>
      <c r="B202" s="60"/>
      <c r="C202" s="28"/>
      <c r="D202" s="60"/>
      <c r="E202" s="53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</row>
    <row r="203" spans="1:50" x14ac:dyDescent="0.25">
      <c r="A203" s="28"/>
      <c r="B203" s="60"/>
      <c r="C203" s="28"/>
      <c r="D203" s="60"/>
      <c r="E203" s="53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</row>
    <row r="204" spans="1:50" x14ac:dyDescent="0.25">
      <c r="A204" s="28"/>
      <c r="B204" s="60"/>
      <c r="C204" s="28"/>
      <c r="D204" s="60"/>
      <c r="E204" s="5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</row>
    <row r="205" spans="1:50" x14ac:dyDescent="0.25">
      <c r="A205" s="28"/>
      <c r="B205" s="60"/>
      <c r="C205" s="28"/>
      <c r="D205" s="60"/>
      <c r="E205" s="53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</row>
    <row r="206" spans="1:50" x14ac:dyDescent="0.25">
      <c r="A206" s="28"/>
      <c r="B206" s="60"/>
      <c r="C206" s="28"/>
      <c r="D206" s="60"/>
      <c r="E206" s="5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</row>
    <row r="207" spans="1:50" x14ac:dyDescent="0.25">
      <c r="A207" s="28"/>
      <c r="B207" s="60"/>
      <c r="C207" s="28"/>
      <c r="D207" s="60"/>
      <c r="E207" s="53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</row>
    <row r="208" spans="1:50" x14ac:dyDescent="0.25">
      <c r="A208" s="28"/>
      <c r="B208" s="60"/>
      <c r="C208" s="28"/>
      <c r="D208" s="60"/>
      <c r="E208" s="53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</row>
    <row r="209" spans="1:50" x14ac:dyDescent="0.25">
      <c r="A209" s="28"/>
      <c r="B209" s="60"/>
      <c r="C209" s="28"/>
      <c r="D209" s="60"/>
      <c r="E209" s="53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</row>
    <row r="210" spans="1:50" x14ac:dyDescent="0.25">
      <c r="A210" s="28"/>
      <c r="B210" s="60"/>
      <c r="C210" s="28"/>
      <c r="D210" s="60"/>
      <c r="E210" s="53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</row>
    <row r="211" spans="1:50" x14ac:dyDescent="0.25">
      <c r="A211" s="28"/>
      <c r="B211" s="60"/>
      <c r="C211" s="28"/>
      <c r="D211" s="60"/>
      <c r="E211" s="53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</row>
    <row r="212" spans="1:50" x14ac:dyDescent="0.25">
      <c r="A212" s="28"/>
      <c r="B212" s="60"/>
      <c r="C212" s="28"/>
      <c r="D212" s="60"/>
      <c r="E212" s="53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</row>
    <row r="213" spans="1:50" x14ac:dyDescent="0.25">
      <c r="A213" s="28"/>
      <c r="B213" s="60"/>
      <c r="C213" s="28"/>
      <c r="D213" s="60"/>
      <c r="E213" s="53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</row>
    <row r="214" spans="1:50" x14ac:dyDescent="0.25">
      <c r="A214" s="28"/>
      <c r="B214" s="60"/>
      <c r="C214" s="28"/>
      <c r="D214" s="60"/>
      <c r="E214" s="53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</row>
    <row r="215" spans="1:50" x14ac:dyDescent="0.25">
      <c r="A215" s="28"/>
      <c r="B215" s="60"/>
      <c r="C215" s="28"/>
      <c r="D215" s="60"/>
      <c r="E215" s="53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</row>
    <row r="216" spans="1:50" x14ac:dyDescent="0.25">
      <c r="A216" s="28"/>
      <c r="B216" s="60"/>
      <c r="C216" s="28"/>
      <c r="D216" s="60"/>
      <c r="E216" s="53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</row>
    <row r="217" spans="1:50" x14ac:dyDescent="0.25">
      <c r="A217" s="28"/>
      <c r="B217" s="60"/>
      <c r="C217" s="28"/>
      <c r="D217" s="60"/>
      <c r="E217" s="53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</row>
    <row r="218" spans="1:50" x14ac:dyDescent="0.25">
      <c r="A218" s="28"/>
      <c r="B218" s="60"/>
      <c r="C218" s="28"/>
      <c r="D218" s="60"/>
      <c r="E218" s="53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</row>
    <row r="219" spans="1:50" x14ac:dyDescent="0.25">
      <c r="A219" s="28"/>
      <c r="B219" s="60"/>
      <c r="C219" s="28"/>
      <c r="D219" s="60"/>
      <c r="E219" s="53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</row>
    <row r="220" spans="1:50" x14ac:dyDescent="0.25">
      <c r="A220" s="28"/>
      <c r="B220" s="60"/>
      <c r="C220" s="28"/>
      <c r="D220" s="60"/>
      <c r="E220" s="53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</row>
    <row r="221" spans="1:50" x14ac:dyDescent="0.25">
      <c r="A221" s="28"/>
      <c r="B221" s="60"/>
      <c r="C221" s="28"/>
      <c r="D221" s="60"/>
      <c r="E221" s="53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</row>
    <row r="222" spans="1:50" x14ac:dyDescent="0.25">
      <c r="A222" s="28"/>
      <c r="B222" s="60"/>
      <c r="C222" s="28"/>
      <c r="D222" s="60"/>
      <c r="E222" s="53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</row>
    <row r="223" spans="1:50" x14ac:dyDescent="0.25">
      <c r="A223" s="28"/>
      <c r="B223" s="60"/>
      <c r="C223" s="28"/>
      <c r="D223" s="60"/>
      <c r="E223" s="53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</row>
    <row r="224" spans="1:50" x14ac:dyDescent="0.25">
      <c r="A224" s="28"/>
      <c r="B224" s="60"/>
      <c r="C224" s="28"/>
      <c r="D224" s="60"/>
      <c r="E224" s="53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</row>
    <row r="225" spans="1:50" x14ac:dyDescent="0.25">
      <c r="A225" s="28"/>
      <c r="B225" s="60"/>
      <c r="C225" s="28"/>
      <c r="D225" s="60"/>
      <c r="E225" s="53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</row>
    <row r="226" spans="1:50" x14ac:dyDescent="0.25">
      <c r="A226" s="28"/>
      <c r="B226" s="60"/>
      <c r="C226" s="28"/>
      <c r="D226" s="60"/>
      <c r="E226" s="53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</row>
    <row r="227" spans="1:50" x14ac:dyDescent="0.25">
      <c r="A227" s="28"/>
      <c r="B227" s="60"/>
      <c r="C227" s="28"/>
      <c r="D227" s="60"/>
      <c r="E227" s="53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</row>
    <row r="228" spans="1:50" x14ac:dyDescent="0.25">
      <c r="A228" s="28"/>
      <c r="B228" s="60"/>
      <c r="C228" s="28"/>
      <c r="D228" s="60"/>
      <c r="E228" s="53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</row>
    <row r="229" spans="1:50" x14ac:dyDescent="0.25">
      <c r="A229" s="28"/>
      <c r="B229" s="60"/>
      <c r="C229" s="28"/>
      <c r="D229" s="60"/>
      <c r="E229" s="53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</row>
    <row r="230" spans="1:50" x14ac:dyDescent="0.25">
      <c r="A230" s="28"/>
      <c r="B230" s="60"/>
      <c r="C230" s="28"/>
      <c r="D230" s="60"/>
      <c r="E230" s="53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</row>
    <row r="231" spans="1:50" x14ac:dyDescent="0.25">
      <c r="A231" s="28"/>
      <c r="B231" s="60"/>
      <c r="C231" s="28"/>
      <c r="D231" s="60"/>
      <c r="E231" s="53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</row>
    <row r="232" spans="1:50" x14ac:dyDescent="0.25">
      <c r="A232" s="28"/>
      <c r="B232" s="60"/>
      <c r="C232" s="28"/>
      <c r="D232" s="60"/>
      <c r="E232" s="53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</row>
    <row r="233" spans="1:50" x14ac:dyDescent="0.25">
      <c r="A233" s="28"/>
      <c r="B233" s="60"/>
      <c r="C233" s="28"/>
      <c r="D233" s="60"/>
      <c r="E233" s="53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</row>
    <row r="234" spans="1:50" x14ac:dyDescent="0.25">
      <c r="A234" s="28"/>
      <c r="B234" s="60"/>
      <c r="C234" s="28"/>
      <c r="D234" s="60"/>
      <c r="E234" s="53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</row>
    <row r="235" spans="1:50" x14ac:dyDescent="0.25">
      <c r="A235" s="28"/>
      <c r="B235" s="60"/>
      <c r="C235" s="28"/>
      <c r="D235" s="60"/>
      <c r="E235" s="53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</row>
    <row r="236" spans="1:50" x14ac:dyDescent="0.25">
      <c r="A236" s="28"/>
      <c r="B236" s="60"/>
      <c r="C236" s="28"/>
      <c r="D236" s="60"/>
      <c r="E236" s="53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</row>
    <row r="237" spans="1:50" x14ac:dyDescent="0.25">
      <c r="A237" s="28"/>
      <c r="B237" s="60"/>
      <c r="C237" s="28"/>
      <c r="D237" s="60"/>
      <c r="E237" s="53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</row>
    <row r="238" spans="1:50" x14ac:dyDescent="0.25">
      <c r="A238" s="28"/>
      <c r="B238" s="60"/>
      <c r="C238" s="28"/>
      <c r="D238" s="60"/>
      <c r="E238" s="53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</row>
    <row r="239" spans="1:50" x14ac:dyDescent="0.25">
      <c r="A239" s="28"/>
      <c r="B239" s="60"/>
      <c r="C239" s="28"/>
      <c r="D239" s="60"/>
      <c r="E239" s="53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</row>
    <row r="240" spans="1:50" x14ac:dyDescent="0.25">
      <c r="A240" s="28"/>
      <c r="B240" s="60"/>
      <c r="C240" s="28"/>
      <c r="D240" s="60"/>
      <c r="E240" s="53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</row>
    <row r="241" spans="1:50" x14ac:dyDescent="0.25">
      <c r="A241" s="28"/>
      <c r="B241" s="60"/>
      <c r="C241" s="28"/>
      <c r="D241" s="60"/>
      <c r="E241" s="53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</row>
    <row r="242" spans="1:50" x14ac:dyDescent="0.25">
      <c r="A242" s="28"/>
      <c r="B242" s="60"/>
      <c r="C242" s="28"/>
      <c r="D242" s="60"/>
      <c r="E242" s="53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</row>
    <row r="243" spans="1:50" x14ac:dyDescent="0.25">
      <c r="A243" s="28"/>
      <c r="B243" s="60"/>
      <c r="C243" s="28"/>
      <c r="D243" s="60"/>
      <c r="E243" s="53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</row>
    <row r="244" spans="1:50" x14ac:dyDescent="0.25">
      <c r="A244" s="28"/>
      <c r="B244" s="60"/>
      <c r="C244" s="28"/>
      <c r="D244" s="60"/>
      <c r="E244" s="53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</row>
    <row r="245" spans="1:50" x14ac:dyDescent="0.25">
      <c r="A245" s="28"/>
      <c r="B245" s="60"/>
      <c r="C245" s="28"/>
      <c r="D245" s="60"/>
      <c r="E245" s="53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</row>
    <row r="246" spans="1:50" x14ac:dyDescent="0.25">
      <c r="A246" s="28"/>
      <c r="B246" s="60"/>
      <c r="C246" s="28"/>
      <c r="D246" s="60"/>
      <c r="E246" s="53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</row>
    <row r="247" spans="1:50" x14ac:dyDescent="0.25">
      <c r="A247" s="28"/>
      <c r="B247" s="60"/>
      <c r="C247" s="28"/>
      <c r="D247" s="60"/>
      <c r="E247" s="53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</row>
    <row r="248" spans="1:50" x14ac:dyDescent="0.25">
      <c r="A248" s="28"/>
      <c r="B248" s="60"/>
      <c r="C248" s="28"/>
      <c r="D248" s="60"/>
      <c r="E248" s="53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</row>
    <row r="249" spans="1:50" x14ac:dyDescent="0.25">
      <c r="A249" s="28"/>
      <c r="B249" s="60"/>
      <c r="C249" s="28"/>
      <c r="D249" s="60"/>
      <c r="E249" s="53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</row>
    <row r="250" spans="1:50" x14ac:dyDescent="0.25">
      <c r="A250" s="28"/>
      <c r="B250" s="60"/>
      <c r="C250" s="28"/>
      <c r="D250" s="60"/>
      <c r="E250" s="53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</row>
    <row r="251" spans="1:50" x14ac:dyDescent="0.25">
      <c r="A251" s="28"/>
      <c r="B251" s="60"/>
      <c r="C251" s="28"/>
      <c r="D251" s="60"/>
      <c r="E251" s="53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</row>
    <row r="252" spans="1:50" x14ac:dyDescent="0.25">
      <c r="A252" s="28"/>
      <c r="B252" s="60"/>
      <c r="C252" s="28"/>
      <c r="D252" s="60"/>
      <c r="E252" s="53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</row>
    <row r="253" spans="1:50" x14ac:dyDescent="0.25">
      <c r="A253" s="28"/>
      <c r="B253" s="60"/>
      <c r="C253" s="28"/>
      <c r="D253" s="60"/>
      <c r="E253" s="53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</row>
    <row r="254" spans="1:50" x14ac:dyDescent="0.25">
      <c r="A254" s="28"/>
      <c r="B254" s="60"/>
      <c r="C254" s="28"/>
      <c r="D254" s="60"/>
      <c r="E254" s="53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</row>
    <row r="255" spans="1:50" x14ac:dyDescent="0.25">
      <c r="A255" s="28"/>
      <c r="B255" s="60"/>
      <c r="C255" s="28"/>
      <c r="D255" s="60"/>
      <c r="E255" s="53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</row>
    <row r="256" spans="1:50" x14ac:dyDescent="0.25">
      <c r="A256" s="28"/>
      <c r="B256" s="60"/>
      <c r="C256" s="28"/>
      <c r="D256" s="60"/>
      <c r="E256" s="53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</row>
    <row r="257" spans="1:50" x14ac:dyDescent="0.25">
      <c r="A257" s="28"/>
      <c r="B257" s="60"/>
      <c r="C257" s="28"/>
      <c r="D257" s="60"/>
      <c r="E257" s="53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</row>
    <row r="258" spans="1:50" x14ac:dyDescent="0.25">
      <c r="A258" s="28"/>
      <c r="B258" s="60"/>
      <c r="C258" s="28"/>
      <c r="D258" s="60"/>
      <c r="E258" s="53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</row>
    <row r="259" spans="1:50" x14ac:dyDescent="0.25">
      <c r="A259" s="28"/>
      <c r="B259" s="60"/>
      <c r="C259" s="28"/>
      <c r="D259" s="60"/>
      <c r="E259" s="53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</row>
    <row r="260" spans="1:50" x14ac:dyDescent="0.25">
      <c r="A260" s="28"/>
      <c r="B260" s="60"/>
      <c r="C260" s="28"/>
      <c r="D260" s="60"/>
      <c r="E260" s="53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</row>
    <row r="261" spans="1:50" x14ac:dyDescent="0.25">
      <c r="A261" s="28"/>
      <c r="B261" s="60"/>
      <c r="C261" s="28"/>
      <c r="D261" s="60"/>
      <c r="E261" s="53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</row>
    <row r="262" spans="1:50" x14ac:dyDescent="0.25">
      <c r="A262" s="28"/>
      <c r="B262" s="60"/>
      <c r="C262" s="28"/>
      <c r="D262" s="60"/>
      <c r="E262" s="53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</row>
    <row r="263" spans="1:50" x14ac:dyDescent="0.25">
      <c r="A263" s="28"/>
      <c r="B263" s="60"/>
      <c r="C263" s="28"/>
      <c r="D263" s="60"/>
      <c r="E263" s="53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</row>
    <row r="264" spans="1:50" x14ac:dyDescent="0.25">
      <c r="A264" s="28"/>
      <c r="B264" s="60"/>
      <c r="C264" s="28"/>
      <c r="D264" s="60"/>
      <c r="E264" s="53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</row>
    <row r="265" spans="1:50" x14ac:dyDescent="0.25">
      <c r="A265" s="28"/>
      <c r="B265" s="60"/>
      <c r="C265" s="28"/>
      <c r="D265" s="60"/>
      <c r="E265" s="53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</row>
    <row r="266" spans="1:50" x14ac:dyDescent="0.25">
      <c r="A266" s="28"/>
      <c r="B266" s="60"/>
      <c r="C266" s="28"/>
      <c r="D266" s="60"/>
      <c r="E266" s="53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</row>
    <row r="267" spans="1:50" x14ac:dyDescent="0.25">
      <c r="A267" s="28"/>
      <c r="B267" s="60"/>
      <c r="C267" s="28"/>
      <c r="D267" s="60"/>
      <c r="E267" s="53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</row>
    <row r="268" spans="1:50" x14ac:dyDescent="0.25">
      <c r="A268" s="28"/>
      <c r="B268" s="60"/>
      <c r="C268" s="28"/>
      <c r="D268" s="60"/>
      <c r="E268" s="53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</row>
    <row r="269" spans="1:50" x14ac:dyDescent="0.25">
      <c r="A269" s="28"/>
      <c r="B269" s="60"/>
      <c r="C269" s="28"/>
      <c r="D269" s="60"/>
      <c r="E269" s="53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</row>
    <row r="270" spans="1:50" x14ac:dyDescent="0.25">
      <c r="A270" s="28"/>
      <c r="B270" s="60"/>
      <c r="C270" s="28"/>
      <c r="D270" s="60"/>
      <c r="E270" s="53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</row>
    <row r="271" spans="1:50" x14ac:dyDescent="0.25">
      <c r="A271" s="28"/>
      <c r="B271" s="60"/>
      <c r="C271" s="28"/>
      <c r="D271" s="60"/>
      <c r="E271" s="53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</row>
    <row r="272" spans="1:50" x14ac:dyDescent="0.25">
      <c r="A272" s="28"/>
      <c r="B272" s="60"/>
      <c r="C272" s="28"/>
      <c r="D272" s="60"/>
      <c r="E272" s="53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</row>
    <row r="273" spans="1:50" x14ac:dyDescent="0.25">
      <c r="A273" s="28"/>
      <c r="B273" s="60"/>
      <c r="C273" s="28"/>
      <c r="D273" s="60"/>
      <c r="E273" s="53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</row>
    <row r="274" spans="1:50" x14ac:dyDescent="0.25">
      <c r="A274" s="28"/>
      <c r="B274" s="60"/>
      <c r="C274" s="28"/>
      <c r="D274" s="60"/>
      <c r="E274" s="53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</row>
    <row r="275" spans="1:50" x14ac:dyDescent="0.25">
      <c r="A275" s="28"/>
      <c r="B275" s="60"/>
      <c r="C275" s="28"/>
      <c r="D275" s="60"/>
      <c r="E275" s="53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</row>
    <row r="276" spans="1:50" x14ac:dyDescent="0.25">
      <c r="A276" s="28"/>
      <c r="B276" s="60"/>
      <c r="C276" s="28"/>
      <c r="D276" s="60"/>
      <c r="E276" s="53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</row>
    <row r="277" spans="1:50" x14ac:dyDescent="0.25">
      <c r="A277" s="28"/>
      <c r="B277" s="60"/>
      <c r="C277" s="28"/>
      <c r="D277" s="60"/>
      <c r="E277" s="53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</row>
    <row r="278" spans="1:50" x14ac:dyDescent="0.25">
      <c r="A278" s="28"/>
      <c r="B278" s="60"/>
      <c r="C278" s="28"/>
      <c r="D278" s="60"/>
      <c r="E278" s="53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</row>
    <row r="279" spans="1:50" x14ac:dyDescent="0.25">
      <c r="A279" s="28"/>
      <c r="B279" s="60"/>
      <c r="C279" s="28"/>
      <c r="D279" s="60"/>
      <c r="E279" s="53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</row>
    <row r="280" spans="1:50" x14ac:dyDescent="0.25">
      <c r="A280" s="28"/>
      <c r="B280" s="60"/>
      <c r="C280" s="28"/>
      <c r="D280" s="60"/>
      <c r="E280" s="53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</row>
    <row r="281" spans="1:50" x14ac:dyDescent="0.25">
      <c r="A281" s="28"/>
      <c r="B281" s="60"/>
      <c r="C281" s="28"/>
      <c r="D281" s="60"/>
      <c r="E281" s="53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</row>
    <row r="282" spans="1:50" x14ac:dyDescent="0.25">
      <c r="A282" s="28"/>
      <c r="B282" s="60"/>
      <c r="C282" s="28"/>
      <c r="D282" s="60"/>
      <c r="E282" s="53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</row>
    <row r="283" spans="1:50" x14ac:dyDescent="0.25">
      <c r="A283" s="28"/>
      <c r="B283" s="60"/>
      <c r="C283" s="28"/>
      <c r="D283" s="60"/>
      <c r="E283" s="53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</row>
    <row r="284" spans="1:50" x14ac:dyDescent="0.25">
      <c r="A284" s="28"/>
      <c r="B284" s="60"/>
      <c r="C284" s="28"/>
      <c r="D284" s="60"/>
      <c r="E284" s="53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</row>
    <row r="285" spans="1:50" x14ac:dyDescent="0.25">
      <c r="A285" s="28"/>
      <c r="B285" s="60"/>
      <c r="C285" s="28"/>
      <c r="D285" s="60"/>
      <c r="E285" s="53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</row>
    <row r="286" spans="1:50" x14ac:dyDescent="0.25">
      <c r="A286" s="28"/>
      <c r="B286" s="60"/>
      <c r="C286" s="28"/>
      <c r="D286" s="60"/>
      <c r="E286" s="53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</row>
    <row r="287" spans="1:50" x14ac:dyDescent="0.25">
      <c r="A287" s="28"/>
      <c r="B287" s="60"/>
      <c r="C287" s="28"/>
      <c r="D287" s="60"/>
      <c r="E287" s="53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</row>
    <row r="288" spans="1:50" x14ac:dyDescent="0.25">
      <c r="A288" s="28"/>
      <c r="B288" s="60"/>
      <c r="C288" s="28"/>
      <c r="D288" s="60"/>
      <c r="E288" s="53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</row>
    <row r="289" spans="1:50" x14ac:dyDescent="0.25">
      <c r="A289" s="28"/>
      <c r="B289" s="60"/>
      <c r="C289" s="28"/>
      <c r="D289" s="60"/>
      <c r="E289" s="53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</row>
    <row r="290" spans="1:50" x14ac:dyDescent="0.25">
      <c r="A290" s="28"/>
      <c r="B290" s="60"/>
      <c r="C290" s="28"/>
      <c r="D290" s="60"/>
      <c r="E290" s="53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</row>
    <row r="291" spans="1:50" x14ac:dyDescent="0.25">
      <c r="A291" s="28"/>
      <c r="B291" s="60"/>
      <c r="C291" s="28"/>
      <c r="D291" s="60"/>
      <c r="E291" s="53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</row>
    <row r="292" spans="1:50" x14ac:dyDescent="0.25">
      <c r="A292" s="28"/>
      <c r="B292" s="60"/>
      <c r="C292" s="28"/>
      <c r="D292" s="60"/>
      <c r="E292" s="53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</row>
    <row r="293" spans="1:50" x14ac:dyDescent="0.25">
      <c r="A293" s="28"/>
      <c r="B293" s="60"/>
      <c r="C293" s="28"/>
      <c r="D293" s="60"/>
      <c r="E293" s="53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</row>
    <row r="294" spans="1:50" x14ac:dyDescent="0.25">
      <c r="A294" s="28"/>
      <c r="B294" s="60"/>
      <c r="C294" s="28"/>
      <c r="D294" s="60"/>
      <c r="E294" s="53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</row>
    <row r="295" spans="1:50" x14ac:dyDescent="0.25">
      <c r="A295" s="28"/>
      <c r="B295" s="60"/>
      <c r="C295" s="28"/>
      <c r="D295" s="60"/>
      <c r="E295" s="53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</row>
    <row r="296" spans="1:50" x14ac:dyDescent="0.25">
      <c r="A296" s="28"/>
      <c r="B296" s="60"/>
      <c r="C296" s="28"/>
      <c r="D296" s="60"/>
      <c r="E296" s="53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</row>
    <row r="297" spans="1:50" x14ac:dyDescent="0.25">
      <c r="A297" s="28"/>
      <c r="B297" s="60"/>
      <c r="C297" s="28"/>
      <c r="D297" s="60"/>
      <c r="E297" s="53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</row>
    <row r="298" spans="1:50" x14ac:dyDescent="0.25">
      <c r="A298" s="28"/>
      <c r="B298" s="60"/>
      <c r="C298" s="28"/>
      <c r="D298" s="60"/>
      <c r="E298" s="53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</row>
    <row r="299" spans="1:50" x14ac:dyDescent="0.25">
      <c r="A299" s="28"/>
      <c r="B299" s="60"/>
      <c r="C299" s="28"/>
      <c r="D299" s="60"/>
      <c r="E299" s="53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</row>
    <row r="300" spans="1:50" x14ac:dyDescent="0.25">
      <c r="A300" s="28"/>
      <c r="B300" s="60"/>
      <c r="C300" s="28"/>
      <c r="D300" s="60"/>
      <c r="E300" s="53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</row>
    <row r="301" spans="1:50" x14ac:dyDescent="0.25">
      <c r="A301" s="28"/>
      <c r="B301" s="60"/>
      <c r="C301" s="28"/>
      <c r="D301" s="60"/>
      <c r="E301" s="53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</row>
    <row r="302" spans="1:50" x14ac:dyDescent="0.25">
      <c r="A302" s="28"/>
      <c r="B302" s="60"/>
      <c r="C302" s="28"/>
      <c r="D302" s="60"/>
      <c r="E302" s="53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</row>
    <row r="303" spans="1:50" x14ac:dyDescent="0.25">
      <c r="A303" s="28"/>
      <c r="B303" s="60"/>
      <c r="C303" s="28"/>
      <c r="D303" s="60"/>
      <c r="E303" s="53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</row>
    <row r="304" spans="1:50" x14ac:dyDescent="0.25">
      <c r="A304" s="28"/>
      <c r="B304" s="60"/>
      <c r="C304" s="28"/>
      <c r="D304" s="60"/>
      <c r="E304" s="53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</row>
    <row r="305" spans="1:50" x14ac:dyDescent="0.25">
      <c r="A305" s="28"/>
      <c r="B305" s="60"/>
      <c r="C305" s="28"/>
      <c r="D305" s="60"/>
      <c r="E305" s="53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</row>
    <row r="306" spans="1:50" x14ac:dyDescent="0.25">
      <c r="A306" s="28"/>
      <c r="B306" s="60"/>
      <c r="C306" s="28"/>
      <c r="D306" s="60"/>
      <c r="E306" s="53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</row>
    <row r="307" spans="1:50" x14ac:dyDescent="0.25">
      <c r="A307" s="28"/>
      <c r="B307" s="60"/>
      <c r="C307" s="28"/>
      <c r="D307" s="60"/>
      <c r="E307" s="53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</row>
    <row r="308" spans="1:50" x14ac:dyDescent="0.25">
      <c r="A308" s="28"/>
      <c r="B308" s="60"/>
      <c r="C308" s="28"/>
      <c r="D308" s="60"/>
      <c r="E308" s="53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</row>
    <row r="309" spans="1:50" x14ac:dyDescent="0.25">
      <c r="A309" s="28"/>
      <c r="B309" s="60"/>
      <c r="C309" s="28"/>
      <c r="D309" s="60"/>
      <c r="E309" s="53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</row>
    <row r="310" spans="1:50" x14ac:dyDescent="0.25">
      <c r="A310" s="28"/>
      <c r="B310" s="60"/>
      <c r="C310" s="28"/>
      <c r="D310" s="60"/>
      <c r="E310" s="53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</row>
    <row r="311" spans="1:50" x14ac:dyDescent="0.25">
      <c r="A311" s="28"/>
      <c r="B311" s="60"/>
      <c r="C311" s="28"/>
      <c r="D311" s="60"/>
      <c r="E311" s="53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</row>
    <row r="312" spans="1:50" x14ac:dyDescent="0.25">
      <c r="A312" s="28"/>
      <c r="B312" s="60"/>
      <c r="C312" s="28"/>
      <c r="D312" s="60"/>
      <c r="E312" s="53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</row>
    <row r="313" spans="1:50" x14ac:dyDescent="0.25">
      <c r="A313" s="28"/>
      <c r="B313" s="60"/>
      <c r="C313" s="28"/>
      <c r="D313" s="60"/>
      <c r="E313" s="53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</row>
    <row r="314" spans="1:50" x14ac:dyDescent="0.25">
      <c r="A314" s="28"/>
      <c r="B314" s="60"/>
      <c r="C314" s="28"/>
      <c r="D314" s="60"/>
      <c r="E314" s="53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</row>
    <row r="315" spans="1:50" x14ac:dyDescent="0.25">
      <c r="A315" s="28"/>
      <c r="B315" s="60"/>
      <c r="C315" s="28"/>
      <c r="D315" s="60"/>
      <c r="E315" s="53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</row>
    <row r="316" spans="1:50" x14ac:dyDescent="0.25">
      <c r="A316" s="28"/>
      <c r="B316" s="60"/>
      <c r="C316" s="28"/>
      <c r="D316" s="60"/>
      <c r="E316" s="53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</row>
    <row r="317" spans="1:50" x14ac:dyDescent="0.25">
      <c r="A317" s="28"/>
      <c r="B317" s="60"/>
      <c r="C317" s="28"/>
      <c r="D317" s="60"/>
      <c r="E317" s="53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</row>
    <row r="318" spans="1:50" x14ac:dyDescent="0.25">
      <c r="A318" s="28"/>
      <c r="B318" s="60"/>
      <c r="C318" s="28"/>
      <c r="D318" s="60"/>
      <c r="E318" s="53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</row>
    <row r="319" spans="1:50" x14ac:dyDescent="0.25">
      <c r="A319" s="28"/>
      <c r="B319" s="60"/>
      <c r="C319" s="28"/>
      <c r="D319" s="60"/>
      <c r="E319" s="53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</row>
    <row r="320" spans="1:50" x14ac:dyDescent="0.25">
      <c r="A320" s="28"/>
      <c r="B320" s="60"/>
      <c r="C320" s="28"/>
      <c r="D320" s="60"/>
      <c r="E320" s="53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</row>
    <row r="321" spans="1:50" x14ac:dyDescent="0.25">
      <c r="A321" s="28"/>
      <c r="B321" s="60"/>
      <c r="C321" s="28"/>
      <c r="D321" s="60"/>
      <c r="E321" s="53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</row>
    <row r="322" spans="1:50" x14ac:dyDescent="0.25">
      <c r="A322" s="28"/>
      <c r="B322" s="60"/>
      <c r="C322" s="28"/>
      <c r="D322" s="60"/>
      <c r="E322" s="53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</row>
    <row r="323" spans="1:50" x14ac:dyDescent="0.25">
      <c r="A323" s="28"/>
      <c r="B323" s="60"/>
      <c r="C323" s="28"/>
      <c r="D323" s="60"/>
      <c r="E323" s="53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</row>
    <row r="324" spans="1:50" x14ac:dyDescent="0.25">
      <c r="A324" s="28"/>
      <c r="B324" s="60"/>
      <c r="C324" s="28"/>
      <c r="D324" s="60"/>
      <c r="E324" s="53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</row>
    <row r="325" spans="1:50" x14ac:dyDescent="0.25">
      <c r="A325" s="28"/>
      <c r="B325" s="60"/>
      <c r="C325" s="28"/>
      <c r="D325" s="60"/>
      <c r="E325" s="53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</row>
    <row r="326" spans="1:50" x14ac:dyDescent="0.25">
      <c r="A326" s="28"/>
      <c r="B326" s="60"/>
      <c r="C326" s="28"/>
      <c r="D326" s="60"/>
      <c r="E326" s="53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</row>
    <row r="327" spans="1:50" x14ac:dyDescent="0.25">
      <c r="A327" s="28"/>
      <c r="B327" s="60"/>
      <c r="C327" s="28"/>
      <c r="D327" s="60"/>
      <c r="E327" s="53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</row>
    <row r="328" spans="1:50" x14ac:dyDescent="0.25">
      <c r="A328" s="28"/>
      <c r="B328" s="60"/>
      <c r="C328" s="28"/>
      <c r="D328" s="60"/>
      <c r="E328" s="53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</row>
    <row r="329" spans="1:50" x14ac:dyDescent="0.25">
      <c r="A329" s="28"/>
      <c r="B329" s="60"/>
      <c r="C329" s="28"/>
      <c r="D329" s="60"/>
      <c r="E329" s="53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</row>
    <row r="330" spans="1:50" x14ac:dyDescent="0.25">
      <c r="A330" s="28"/>
      <c r="B330" s="60"/>
      <c r="C330" s="28"/>
      <c r="D330" s="60"/>
      <c r="E330" s="53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</row>
    <row r="331" spans="1:50" x14ac:dyDescent="0.25">
      <c r="A331" s="28"/>
      <c r="B331" s="60"/>
      <c r="C331" s="28"/>
      <c r="D331" s="60"/>
      <c r="E331" s="53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</row>
    <row r="332" spans="1:50" x14ac:dyDescent="0.25">
      <c r="A332" s="28"/>
      <c r="B332" s="60"/>
      <c r="C332" s="28"/>
      <c r="D332" s="60"/>
      <c r="E332" s="53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</row>
    <row r="333" spans="1:50" x14ac:dyDescent="0.25">
      <c r="A333" s="28"/>
      <c r="B333" s="60"/>
      <c r="C333" s="28"/>
      <c r="D333" s="60"/>
      <c r="E333" s="53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</row>
    <row r="334" spans="1:50" x14ac:dyDescent="0.25">
      <c r="A334" s="28"/>
      <c r="B334" s="60"/>
      <c r="C334" s="28"/>
      <c r="D334" s="60"/>
      <c r="E334" s="53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</row>
    <row r="335" spans="1:50" x14ac:dyDescent="0.25">
      <c r="A335" s="28"/>
      <c r="B335" s="60"/>
      <c r="C335" s="28"/>
      <c r="D335" s="60"/>
      <c r="E335" s="53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</row>
    <row r="336" spans="1:50" x14ac:dyDescent="0.25">
      <c r="A336" s="28"/>
      <c r="B336" s="60"/>
      <c r="C336" s="28"/>
      <c r="D336" s="60"/>
      <c r="E336" s="53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</row>
    <row r="337" spans="1:50" x14ac:dyDescent="0.25">
      <c r="A337" s="28"/>
      <c r="B337" s="60"/>
      <c r="C337" s="28"/>
      <c r="D337" s="60"/>
      <c r="E337" s="53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</row>
    <row r="338" spans="1:50" x14ac:dyDescent="0.25">
      <c r="A338" s="28"/>
      <c r="B338" s="60"/>
      <c r="C338" s="28"/>
      <c r="D338" s="60"/>
      <c r="E338" s="53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</row>
    <row r="339" spans="1:50" x14ac:dyDescent="0.25">
      <c r="A339" s="28"/>
      <c r="B339" s="60"/>
      <c r="C339" s="28"/>
      <c r="D339" s="60"/>
      <c r="E339" s="53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</row>
    <row r="340" spans="1:50" x14ac:dyDescent="0.25">
      <c r="A340" s="28"/>
      <c r="B340" s="60"/>
      <c r="C340" s="28"/>
      <c r="D340" s="60"/>
      <c r="E340" s="53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</row>
    <row r="341" spans="1:50" x14ac:dyDescent="0.25">
      <c r="A341" s="28"/>
      <c r="B341" s="60"/>
      <c r="C341" s="28"/>
      <c r="D341" s="60"/>
      <c r="E341" s="53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</row>
    <row r="342" spans="1:50" x14ac:dyDescent="0.25">
      <c r="A342" s="28"/>
      <c r="B342" s="60"/>
      <c r="C342" s="28"/>
      <c r="D342" s="60"/>
      <c r="E342" s="53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</row>
    <row r="343" spans="1:50" x14ac:dyDescent="0.25">
      <c r="A343" s="28"/>
      <c r="B343" s="60"/>
      <c r="C343" s="28"/>
      <c r="D343" s="60"/>
      <c r="E343" s="53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</row>
    <row r="344" spans="1:50" x14ac:dyDescent="0.25">
      <c r="A344" s="28"/>
      <c r="B344" s="60"/>
      <c r="C344" s="28"/>
      <c r="D344" s="60"/>
      <c r="E344" s="53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</row>
    <row r="345" spans="1:50" x14ac:dyDescent="0.25">
      <c r="A345" s="28"/>
      <c r="B345" s="60"/>
      <c r="C345" s="28"/>
      <c r="D345" s="60"/>
      <c r="E345" s="53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</row>
    <row r="346" spans="1:50" x14ac:dyDescent="0.25">
      <c r="A346" s="28"/>
      <c r="B346" s="60"/>
      <c r="C346" s="28"/>
      <c r="D346" s="60"/>
      <c r="E346" s="53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</row>
    <row r="347" spans="1:50" x14ac:dyDescent="0.25">
      <c r="A347" s="28"/>
      <c r="B347" s="60"/>
      <c r="C347" s="28"/>
      <c r="D347" s="60"/>
      <c r="E347" s="53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</row>
    <row r="348" spans="1:50" x14ac:dyDescent="0.25">
      <c r="A348" s="28"/>
      <c r="B348" s="60"/>
      <c r="C348" s="28"/>
      <c r="D348" s="60"/>
      <c r="E348" s="53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</row>
    <row r="349" spans="1:50" x14ac:dyDescent="0.25">
      <c r="A349" s="28"/>
      <c r="B349" s="60"/>
      <c r="C349" s="28"/>
      <c r="D349" s="60"/>
      <c r="E349" s="53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</row>
    <row r="350" spans="1:50" x14ac:dyDescent="0.25">
      <c r="A350" s="28"/>
      <c r="B350" s="60"/>
      <c r="C350" s="28"/>
      <c r="D350" s="60"/>
      <c r="E350" s="53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</row>
    <row r="351" spans="1:50" x14ac:dyDescent="0.25">
      <c r="A351" s="28"/>
      <c r="B351" s="60"/>
      <c r="C351" s="28"/>
      <c r="D351" s="60"/>
      <c r="E351" s="53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</row>
    <row r="352" spans="1:50" x14ac:dyDescent="0.25">
      <c r="A352" s="28"/>
      <c r="B352" s="60"/>
      <c r="C352" s="28"/>
      <c r="D352" s="60"/>
      <c r="E352" s="53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</row>
    <row r="353" spans="1:50" x14ac:dyDescent="0.25">
      <c r="A353" s="28"/>
      <c r="B353" s="60"/>
      <c r="C353" s="28"/>
      <c r="D353" s="60"/>
      <c r="E353" s="53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</row>
    <row r="354" spans="1:50" x14ac:dyDescent="0.25">
      <c r="A354" s="28"/>
      <c r="B354" s="60"/>
      <c r="C354" s="28"/>
      <c r="D354" s="60"/>
      <c r="E354" s="53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</row>
    <row r="355" spans="1:50" x14ac:dyDescent="0.25">
      <c r="A355" s="28"/>
      <c r="B355" s="60"/>
      <c r="C355" s="28"/>
      <c r="D355" s="60"/>
      <c r="E355" s="53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</row>
    <row r="356" spans="1:50" x14ac:dyDescent="0.25">
      <c r="A356" s="28"/>
      <c r="B356" s="60"/>
      <c r="C356" s="28"/>
      <c r="D356" s="60"/>
      <c r="E356" s="53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</row>
    <row r="357" spans="1:50" x14ac:dyDescent="0.25">
      <c r="A357" s="28"/>
      <c r="B357" s="60"/>
      <c r="C357" s="28"/>
      <c r="D357" s="60"/>
      <c r="E357" s="53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</row>
    <row r="358" spans="1:50" x14ac:dyDescent="0.25">
      <c r="A358" s="28"/>
      <c r="B358" s="60"/>
      <c r="C358" s="28"/>
      <c r="D358" s="60"/>
      <c r="E358" s="53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</row>
    <row r="359" spans="1:50" x14ac:dyDescent="0.25">
      <c r="A359" s="28"/>
      <c r="B359" s="60"/>
      <c r="C359" s="28"/>
      <c r="D359" s="60"/>
      <c r="E359" s="53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</row>
    <row r="360" spans="1:50" x14ac:dyDescent="0.25">
      <c r="A360" s="28"/>
      <c r="B360" s="60"/>
      <c r="C360" s="28"/>
      <c r="D360" s="60"/>
      <c r="E360" s="53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</row>
    <row r="361" spans="1:50" x14ac:dyDescent="0.25">
      <c r="A361" s="28"/>
      <c r="B361" s="60"/>
      <c r="C361" s="28"/>
      <c r="D361" s="60"/>
      <c r="E361" s="53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</row>
    <row r="362" spans="1:50" x14ac:dyDescent="0.25">
      <c r="A362" s="28"/>
      <c r="B362" s="60"/>
      <c r="C362" s="28"/>
      <c r="D362" s="60"/>
      <c r="E362" s="53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</row>
    <row r="363" spans="1:50" x14ac:dyDescent="0.25">
      <c r="A363" s="28"/>
      <c r="B363" s="60"/>
      <c r="C363" s="28"/>
      <c r="D363" s="60"/>
      <c r="E363" s="53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</row>
    <row r="364" spans="1:50" x14ac:dyDescent="0.25">
      <c r="A364" s="28"/>
      <c r="B364" s="60"/>
      <c r="C364" s="28"/>
      <c r="D364" s="60"/>
      <c r="E364" s="53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</row>
    <row r="365" spans="1:50" x14ac:dyDescent="0.25">
      <c r="A365" s="28"/>
      <c r="B365" s="60"/>
      <c r="C365" s="28"/>
      <c r="D365" s="60"/>
      <c r="E365" s="53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</row>
    <row r="366" spans="1:50" x14ac:dyDescent="0.25">
      <c r="A366" s="28"/>
      <c r="B366" s="60"/>
      <c r="C366" s="28"/>
      <c r="D366" s="60"/>
      <c r="E366" s="53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</row>
    <row r="367" spans="1:50" x14ac:dyDescent="0.25">
      <c r="A367" s="28"/>
      <c r="B367" s="60"/>
      <c r="C367" s="28"/>
      <c r="D367" s="60"/>
      <c r="E367" s="53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</row>
    <row r="368" spans="1:50" x14ac:dyDescent="0.25">
      <c r="A368" s="28"/>
      <c r="B368" s="60"/>
      <c r="C368" s="28"/>
      <c r="D368" s="60"/>
      <c r="E368" s="53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</row>
    <row r="369" spans="1:50" x14ac:dyDescent="0.25">
      <c r="A369" s="28"/>
      <c r="B369" s="60"/>
      <c r="C369" s="28"/>
      <c r="D369" s="60"/>
      <c r="E369" s="53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</row>
    <row r="370" spans="1:50" x14ac:dyDescent="0.25">
      <c r="A370" s="28"/>
      <c r="B370" s="60"/>
      <c r="C370" s="28"/>
      <c r="D370" s="60"/>
      <c r="E370" s="53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</row>
    <row r="371" spans="1:50" x14ac:dyDescent="0.25">
      <c r="A371" s="28"/>
      <c r="B371" s="60"/>
      <c r="C371" s="28"/>
      <c r="D371" s="60"/>
      <c r="E371" s="53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</row>
    <row r="372" spans="1:50" x14ac:dyDescent="0.25">
      <c r="A372" s="28"/>
      <c r="B372" s="60"/>
      <c r="C372" s="28"/>
      <c r="D372" s="60"/>
      <c r="E372" s="53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</row>
    <row r="373" spans="1:50" x14ac:dyDescent="0.25">
      <c r="A373" s="28"/>
      <c r="B373" s="60"/>
      <c r="C373" s="28"/>
      <c r="D373" s="60"/>
      <c r="E373" s="53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</row>
    <row r="374" spans="1:50" x14ac:dyDescent="0.25">
      <c r="A374" s="28"/>
      <c r="B374" s="60"/>
      <c r="C374" s="28"/>
      <c r="D374" s="60"/>
      <c r="E374" s="53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</row>
    <row r="375" spans="1:50" x14ac:dyDescent="0.25">
      <c r="A375" s="28"/>
      <c r="B375" s="60"/>
      <c r="C375" s="28"/>
      <c r="D375" s="60"/>
      <c r="E375" s="53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</row>
    <row r="376" spans="1:50" x14ac:dyDescent="0.25">
      <c r="A376" s="28"/>
      <c r="B376" s="60"/>
      <c r="C376" s="28"/>
      <c r="D376" s="60"/>
      <c r="E376" s="53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</row>
    <row r="377" spans="1:50" x14ac:dyDescent="0.25">
      <c r="A377" s="28"/>
      <c r="B377" s="60"/>
      <c r="C377" s="28"/>
      <c r="D377" s="60"/>
      <c r="E377" s="53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</row>
    <row r="378" spans="1:50" x14ac:dyDescent="0.25">
      <c r="A378" s="28"/>
      <c r="B378" s="60"/>
      <c r="C378" s="28"/>
      <c r="D378" s="60"/>
      <c r="E378" s="53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</row>
    <row r="379" spans="1:50" x14ac:dyDescent="0.25">
      <c r="A379" s="28"/>
      <c r="B379" s="60"/>
      <c r="C379" s="28"/>
      <c r="D379" s="60"/>
      <c r="E379" s="53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</row>
    <row r="380" spans="1:50" x14ac:dyDescent="0.25">
      <c r="A380" s="28"/>
      <c r="B380" s="60"/>
      <c r="C380" s="28"/>
      <c r="D380" s="60"/>
      <c r="E380" s="53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</row>
    <row r="381" spans="1:50" x14ac:dyDescent="0.25">
      <c r="A381" s="28"/>
      <c r="B381" s="60"/>
      <c r="C381" s="28"/>
      <c r="D381" s="60"/>
      <c r="E381" s="53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</row>
    <row r="382" spans="1:50" x14ac:dyDescent="0.25">
      <c r="A382" s="28"/>
      <c r="B382" s="60"/>
      <c r="C382" s="28"/>
      <c r="D382" s="60"/>
      <c r="E382" s="53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</row>
    <row r="383" spans="1:50" x14ac:dyDescent="0.25">
      <c r="A383" s="28"/>
      <c r="B383" s="60"/>
      <c r="C383" s="28"/>
      <c r="D383" s="60"/>
      <c r="E383" s="53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</row>
    <row r="384" spans="1:50" x14ac:dyDescent="0.25">
      <c r="A384" s="28"/>
      <c r="B384" s="60"/>
      <c r="C384" s="28"/>
      <c r="D384" s="60"/>
      <c r="E384" s="53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</row>
    <row r="385" spans="1:50" x14ac:dyDescent="0.25">
      <c r="A385" s="28"/>
      <c r="B385" s="60"/>
      <c r="C385" s="28"/>
      <c r="D385" s="60"/>
      <c r="E385" s="53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</row>
    <row r="386" spans="1:50" x14ac:dyDescent="0.25">
      <c r="A386" s="28"/>
      <c r="B386" s="60"/>
      <c r="C386" s="28"/>
      <c r="D386" s="60"/>
      <c r="E386" s="53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</row>
    <row r="387" spans="1:50" x14ac:dyDescent="0.25">
      <c r="A387" s="28"/>
      <c r="B387" s="60"/>
      <c r="C387" s="28"/>
      <c r="D387" s="60"/>
      <c r="E387" s="53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</row>
    <row r="388" spans="1:50" x14ac:dyDescent="0.25">
      <c r="A388" s="28"/>
      <c r="B388" s="60"/>
      <c r="C388" s="28"/>
      <c r="D388" s="60"/>
      <c r="E388" s="53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</row>
    <row r="389" spans="1:50" x14ac:dyDescent="0.25">
      <c r="A389" s="28"/>
      <c r="B389" s="60"/>
      <c r="C389" s="28"/>
      <c r="D389" s="60"/>
      <c r="E389" s="53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</row>
    <row r="390" spans="1:50" x14ac:dyDescent="0.25">
      <c r="A390" s="28"/>
      <c r="B390" s="60"/>
      <c r="C390" s="28"/>
      <c r="D390" s="60"/>
      <c r="E390" s="53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</row>
    <row r="391" spans="1:50" x14ac:dyDescent="0.25">
      <c r="A391" s="28"/>
      <c r="B391" s="60"/>
      <c r="C391" s="28"/>
      <c r="D391" s="60"/>
      <c r="E391" s="53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</row>
    <row r="392" spans="1:50" x14ac:dyDescent="0.25">
      <c r="A392" s="28"/>
      <c r="B392" s="60"/>
      <c r="C392" s="28"/>
      <c r="D392" s="60"/>
      <c r="E392" s="53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</row>
    <row r="393" spans="1:50" x14ac:dyDescent="0.25">
      <c r="A393" s="28"/>
      <c r="B393" s="60"/>
      <c r="C393" s="28"/>
      <c r="D393" s="60"/>
      <c r="E393" s="53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</row>
    <row r="394" spans="1:50" x14ac:dyDescent="0.25">
      <c r="A394" s="28"/>
      <c r="B394" s="60"/>
      <c r="C394" s="28"/>
      <c r="D394" s="60"/>
      <c r="E394" s="53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</row>
    <row r="395" spans="1:50" x14ac:dyDescent="0.25">
      <c r="A395" s="28"/>
      <c r="B395" s="60"/>
      <c r="C395" s="28"/>
      <c r="D395" s="60"/>
      <c r="E395" s="53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</row>
    <row r="396" spans="1:50" x14ac:dyDescent="0.25">
      <c r="A396" s="28"/>
      <c r="B396" s="60"/>
      <c r="C396" s="28"/>
      <c r="D396" s="60"/>
      <c r="E396" s="53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</row>
    <row r="397" spans="1:50" x14ac:dyDescent="0.25">
      <c r="A397" s="28"/>
      <c r="B397" s="60"/>
      <c r="C397" s="28"/>
      <c r="D397" s="60"/>
      <c r="E397" s="53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</row>
    <row r="398" spans="1:50" x14ac:dyDescent="0.25">
      <c r="A398" s="28"/>
      <c r="B398" s="60"/>
      <c r="C398" s="28"/>
      <c r="D398" s="60"/>
      <c r="E398" s="53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</row>
    <row r="399" spans="1:50" x14ac:dyDescent="0.25">
      <c r="A399" s="28"/>
      <c r="B399" s="60"/>
      <c r="C399" s="28"/>
      <c r="D399" s="60"/>
      <c r="E399" s="53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</row>
    <row r="400" spans="1:50" x14ac:dyDescent="0.25">
      <c r="A400" s="28"/>
      <c r="B400" s="60"/>
      <c r="C400" s="28"/>
      <c r="D400" s="60"/>
      <c r="E400" s="53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</row>
    <row r="401" spans="1:50" x14ac:dyDescent="0.25">
      <c r="A401" s="28"/>
      <c r="B401" s="60"/>
      <c r="C401" s="28"/>
      <c r="D401" s="60"/>
      <c r="E401" s="53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</row>
    <row r="402" spans="1:50" x14ac:dyDescent="0.25">
      <c r="A402" s="28"/>
      <c r="B402" s="60"/>
      <c r="C402" s="28"/>
      <c r="D402" s="60"/>
      <c r="E402" s="53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</row>
    <row r="403" spans="1:50" x14ac:dyDescent="0.25">
      <c r="A403" s="28"/>
      <c r="B403" s="60"/>
      <c r="C403" s="28"/>
      <c r="D403" s="60"/>
      <c r="E403" s="53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</row>
    <row r="404" spans="1:50" x14ac:dyDescent="0.25">
      <c r="A404" s="28"/>
      <c r="B404" s="60"/>
      <c r="C404" s="28"/>
      <c r="D404" s="60"/>
      <c r="E404" s="53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</row>
    <row r="405" spans="1:50" x14ac:dyDescent="0.25">
      <c r="A405" s="28"/>
      <c r="B405" s="60"/>
      <c r="C405" s="28"/>
      <c r="D405" s="60"/>
      <c r="E405" s="53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</row>
    <row r="406" spans="1:50" x14ac:dyDescent="0.25">
      <c r="A406" s="28"/>
      <c r="B406" s="60"/>
      <c r="C406" s="28"/>
      <c r="D406" s="60"/>
      <c r="E406" s="53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</row>
    <row r="407" spans="1:50" x14ac:dyDescent="0.25">
      <c r="A407" s="28"/>
      <c r="B407" s="60"/>
      <c r="C407" s="28"/>
      <c r="D407" s="60"/>
      <c r="E407" s="53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</row>
    <row r="408" spans="1:50" x14ac:dyDescent="0.25">
      <c r="A408" s="28"/>
      <c r="B408" s="60"/>
      <c r="C408" s="28"/>
      <c r="D408" s="60"/>
      <c r="E408" s="53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</row>
    <row r="409" spans="1:50" x14ac:dyDescent="0.25">
      <c r="A409" s="28"/>
      <c r="B409" s="60"/>
      <c r="C409" s="28"/>
      <c r="D409" s="60"/>
      <c r="E409" s="53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</row>
    <row r="410" spans="1:50" x14ac:dyDescent="0.25">
      <c r="A410" s="28"/>
      <c r="B410" s="60"/>
      <c r="C410" s="28"/>
      <c r="D410" s="60"/>
      <c r="E410" s="53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</row>
    <row r="411" spans="1:50" x14ac:dyDescent="0.25">
      <c r="A411" s="28"/>
      <c r="B411" s="60"/>
      <c r="C411" s="28"/>
      <c r="D411" s="60"/>
      <c r="E411" s="53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</row>
    <row r="412" spans="1:50" x14ac:dyDescent="0.25">
      <c r="A412" s="28"/>
      <c r="B412" s="60"/>
      <c r="C412" s="28"/>
      <c r="D412" s="60"/>
      <c r="E412" s="53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</row>
    <row r="413" spans="1:50" x14ac:dyDescent="0.25">
      <c r="A413" s="28"/>
      <c r="B413" s="60"/>
      <c r="C413" s="28"/>
      <c r="D413" s="60"/>
      <c r="E413" s="53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</row>
    <row r="414" spans="1:50" x14ac:dyDescent="0.25">
      <c r="A414" s="28"/>
      <c r="B414" s="60"/>
      <c r="C414" s="28"/>
      <c r="D414" s="60"/>
      <c r="E414" s="53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</row>
    <row r="415" spans="1:50" x14ac:dyDescent="0.25">
      <c r="A415" s="28"/>
      <c r="B415" s="60"/>
      <c r="C415" s="28"/>
      <c r="D415" s="60"/>
      <c r="E415" s="53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</row>
    <row r="416" spans="1:50" x14ac:dyDescent="0.25">
      <c r="A416" s="28"/>
      <c r="B416" s="60"/>
      <c r="C416" s="28"/>
      <c r="D416" s="60"/>
      <c r="E416" s="53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</row>
    <row r="417" spans="1:50" x14ac:dyDescent="0.25">
      <c r="A417" s="28"/>
      <c r="B417" s="60"/>
      <c r="C417" s="28"/>
      <c r="D417" s="60"/>
      <c r="E417" s="53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</row>
    <row r="418" spans="1:50" x14ac:dyDescent="0.25">
      <c r="A418" s="28"/>
      <c r="B418" s="60"/>
      <c r="C418" s="28"/>
      <c r="D418" s="60"/>
      <c r="E418" s="53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</row>
    <row r="419" spans="1:50" x14ac:dyDescent="0.25">
      <c r="A419" s="28"/>
      <c r="B419" s="60"/>
      <c r="C419" s="28"/>
      <c r="D419" s="60"/>
      <c r="E419" s="53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</row>
    <row r="420" spans="1:50" x14ac:dyDescent="0.25">
      <c r="A420" s="28"/>
      <c r="B420" s="60"/>
      <c r="C420" s="28"/>
      <c r="D420" s="60"/>
      <c r="E420" s="53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</row>
    <row r="421" spans="1:50" x14ac:dyDescent="0.25">
      <c r="A421" s="28"/>
      <c r="B421" s="60"/>
      <c r="C421" s="28"/>
      <c r="D421" s="60"/>
      <c r="E421" s="53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</row>
    <row r="422" spans="1:50" x14ac:dyDescent="0.25">
      <c r="A422" s="28"/>
      <c r="B422" s="60"/>
      <c r="C422" s="28"/>
      <c r="D422" s="60"/>
      <c r="E422" s="53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</row>
    <row r="423" spans="1:50" x14ac:dyDescent="0.25">
      <c r="A423" s="28"/>
      <c r="B423" s="60"/>
      <c r="C423" s="28"/>
      <c r="D423" s="60"/>
      <c r="E423" s="53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</row>
    <row r="424" spans="1:50" x14ac:dyDescent="0.25">
      <c r="A424" s="28"/>
      <c r="B424" s="60"/>
      <c r="C424" s="28"/>
      <c r="D424" s="60"/>
      <c r="E424" s="53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</row>
    <row r="425" spans="1:50" x14ac:dyDescent="0.25">
      <c r="A425" s="28"/>
      <c r="B425" s="60"/>
      <c r="C425" s="28"/>
      <c r="D425" s="60"/>
      <c r="E425" s="53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</row>
    <row r="426" spans="1:50" x14ac:dyDescent="0.25">
      <c r="A426" s="28"/>
      <c r="B426" s="60"/>
      <c r="C426" s="28"/>
      <c r="D426" s="60"/>
      <c r="E426" s="53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</row>
    <row r="427" spans="1:50" x14ac:dyDescent="0.25">
      <c r="A427" s="28"/>
      <c r="B427" s="60"/>
      <c r="C427" s="28"/>
      <c r="D427" s="60"/>
      <c r="E427" s="53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</row>
    <row r="428" spans="1:50" x14ac:dyDescent="0.25">
      <c r="A428" s="28"/>
      <c r="B428" s="60"/>
      <c r="C428" s="28"/>
      <c r="D428" s="60"/>
      <c r="E428" s="53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</row>
    <row r="429" spans="1:50" x14ac:dyDescent="0.25">
      <c r="A429" s="28"/>
      <c r="B429" s="60"/>
      <c r="C429" s="28"/>
      <c r="D429" s="60"/>
      <c r="E429" s="53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</row>
    <row r="430" spans="1:50" x14ac:dyDescent="0.25">
      <c r="A430" s="28"/>
      <c r="B430" s="60"/>
      <c r="C430" s="28"/>
      <c r="D430" s="60"/>
      <c r="E430" s="53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</row>
    <row r="431" spans="1:50" x14ac:dyDescent="0.25">
      <c r="A431" s="28"/>
      <c r="B431" s="60"/>
      <c r="C431" s="28"/>
      <c r="D431" s="60"/>
      <c r="E431" s="53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</row>
    <row r="432" spans="1:50" x14ac:dyDescent="0.25">
      <c r="A432" s="28"/>
      <c r="B432" s="60"/>
      <c r="C432" s="28"/>
      <c r="D432" s="60"/>
      <c r="E432" s="53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</row>
    <row r="433" spans="1:50" x14ac:dyDescent="0.25">
      <c r="A433" s="28"/>
      <c r="B433" s="60"/>
      <c r="C433" s="28"/>
      <c r="D433" s="60"/>
      <c r="E433" s="53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</row>
    <row r="434" spans="1:50" x14ac:dyDescent="0.25">
      <c r="A434" s="28"/>
      <c r="B434" s="60"/>
      <c r="C434" s="28"/>
      <c r="D434" s="60"/>
      <c r="E434" s="53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</row>
    <row r="435" spans="1:50" x14ac:dyDescent="0.25">
      <c r="A435" s="28"/>
      <c r="B435" s="60"/>
      <c r="C435" s="28"/>
      <c r="D435" s="60"/>
      <c r="E435" s="53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</row>
    <row r="436" spans="1:50" x14ac:dyDescent="0.25">
      <c r="A436" s="28"/>
      <c r="B436" s="60"/>
      <c r="C436" s="28"/>
      <c r="D436" s="60"/>
      <c r="E436" s="53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</row>
    <row r="437" spans="1:50" x14ac:dyDescent="0.25">
      <c r="A437" s="28"/>
      <c r="B437" s="60"/>
      <c r="C437" s="28"/>
      <c r="D437" s="60"/>
      <c r="E437" s="53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</row>
    <row r="438" spans="1:50" x14ac:dyDescent="0.25">
      <c r="A438" s="28"/>
      <c r="B438" s="60"/>
      <c r="C438" s="28"/>
      <c r="D438" s="60"/>
      <c r="E438" s="53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</row>
    <row r="439" spans="1:50" x14ac:dyDescent="0.25">
      <c r="A439" s="28"/>
      <c r="B439" s="60"/>
      <c r="C439" s="28"/>
      <c r="D439" s="60"/>
      <c r="E439" s="53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</row>
    <row r="440" spans="1:50" x14ac:dyDescent="0.25">
      <c r="A440" s="28"/>
      <c r="B440" s="60"/>
      <c r="C440" s="28"/>
      <c r="D440" s="60"/>
      <c r="E440" s="53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</row>
    <row r="441" spans="1:50" x14ac:dyDescent="0.25">
      <c r="A441" s="28"/>
      <c r="B441" s="60"/>
      <c r="C441" s="28"/>
      <c r="D441" s="60"/>
      <c r="E441" s="53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</row>
    <row r="442" spans="1:50" x14ac:dyDescent="0.25">
      <c r="A442" s="28"/>
      <c r="B442" s="60"/>
      <c r="C442" s="28"/>
      <c r="D442" s="60"/>
      <c r="E442" s="53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</row>
    <row r="443" spans="1:50" x14ac:dyDescent="0.25">
      <c r="A443" s="28"/>
      <c r="B443" s="60"/>
      <c r="C443" s="28"/>
      <c r="D443" s="60"/>
      <c r="E443" s="53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</row>
    <row r="444" spans="1:50" x14ac:dyDescent="0.25">
      <c r="A444" s="28"/>
      <c r="B444" s="60"/>
      <c r="C444" s="28"/>
      <c r="D444" s="60"/>
      <c r="E444" s="53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</row>
    <row r="445" spans="1:50" x14ac:dyDescent="0.25">
      <c r="A445" s="28"/>
      <c r="B445" s="60"/>
      <c r="C445" s="28"/>
      <c r="D445" s="60"/>
      <c r="E445" s="53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</row>
    <row r="446" spans="1:50" x14ac:dyDescent="0.25">
      <c r="A446" s="28"/>
      <c r="B446" s="60"/>
      <c r="C446" s="28"/>
      <c r="D446" s="60"/>
      <c r="E446" s="53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</row>
    <row r="447" spans="1:50" x14ac:dyDescent="0.25">
      <c r="A447" s="28"/>
      <c r="B447" s="60"/>
      <c r="C447" s="28"/>
      <c r="D447" s="60"/>
      <c r="E447" s="53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</row>
    <row r="448" spans="1:50" x14ac:dyDescent="0.25">
      <c r="A448" s="28"/>
      <c r="B448" s="60"/>
      <c r="C448" s="28"/>
      <c r="D448" s="60"/>
      <c r="E448" s="53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</row>
    <row r="449" spans="1:50" x14ac:dyDescent="0.25">
      <c r="A449" s="28"/>
      <c r="B449" s="60"/>
      <c r="C449" s="28"/>
      <c r="D449" s="60"/>
      <c r="E449" s="53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</row>
    <row r="450" spans="1:50" x14ac:dyDescent="0.25">
      <c r="A450" s="28"/>
      <c r="B450" s="60"/>
      <c r="C450" s="28"/>
      <c r="D450" s="60"/>
      <c r="E450" s="53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</row>
    <row r="451" spans="1:50" x14ac:dyDescent="0.25">
      <c r="A451" s="28"/>
      <c r="B451" s="60"/>
      <c r="C451" s="28"/>
      <c r="D451" s="60"/>
      <c r="E451" s="53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</row>
    <row r="452" spans="1:50" x14ac:dyDescent="0.25">
      <c r="A452" s="28"/>
      <c r="B452" s="60"/>
      <c r="C452" s="28"/>
      <c r="D452" s="60"/>
      <c r="E452" s="53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</row>
    <row r="453" spans="1:50" x14ac:dyDescent="0.25">
      <c r="A453" s="28"/>
      <c r="B453" s="60"/>
      <c r="C453" s="28"/>
      <c r="D453" s="60"/>
      <c r="E453" s="53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</row>
    <row r="454" spans="1:50" x14ac:dyDescent="0.25">
      <c r="A454" s="28"/>
      <c r="B454" s="60"/>
      <c r="C454" s="28"/>
      <c r="D454" s="60"/>
      <c r="E454" s="53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</row>
    <row r="455" spans="1:50" x14ac:dyDescent="0.25">
      <c r="A455" s="28"/>
      <c r="B455" s="60"/>
      <c r="C455" s="28"/>
      <c r="D455" s="60"/>
      <c r="E455" s="53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</row>
    <row r="456" spans="1:50" x14ac:dyDescent="0.25">
      <c r="A456" s="28"/>
      <c r="B456" s="60"/>
      <c r="C456" s="28"/>
      <c r="D456" s="60"/>
      <c r="E456" s="53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</row>
    <row r="457" spans="1:50" x14ac:dyDescent="0.25">
      <c r="A457" s="28"/>
      <c r="B457" s="60"/>
      <c r="C457" s="28"/>
      <c r="D457" s="60"/>
      <c r="E457" s="53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</row>
    <row r="458" spans="1:50" x14ac:dyDescent="0.25">
      <c r="A458" s="28"/>
      <c r="B458" s="60"/>
      <c r="C458" s="28"/>
      <c r="D458" s="60"/>
      <c r="E458" s="53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</row>
    <row r="459" spans="1:50" x14ac:dyDescent="0.25">
      <c r="A459" s="28"/>
      <c r="B459" s="60"/>
      <c r="C459" s="28"/>
      <c r="D459" s="60"/>
      <c r="E459" s="53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</row>
    <row r="460" spans="1:50" x14ac:dyDescent="0.25">
      <c r="A460" s="28"/>
      <c r="B460" s="60"/>
      <c r="C460" s="28"/>
      <c r="D460" s="60"/>
      <c r="E460" s="53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</row>
    <row r="461" spans="1:50" x14ac:dyDescent="0.25">
      <c r="A461" s="28"/>
      <c r="B461" s="60"/>
      <c r="C461" s="28"/>
      <c r="D461" s="60"/>
      <c r="E461" s="53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</row>
    <row r="462" spans="1:50" x14ac:dyDescent="0.25">
      <c r="A462" s="28"/>
      <c r="B462" s="60"/>
      <c r="C462" s="28"/>
      <c r="D462" s="60"/>
      <c r="E462" s="53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</row>
    <row r="463" spans="1:50" x14ac:dyDescent="0.25">
      <c r="A463" s="28"/>
      <c r="B463" s="60"/>
      <c r="C463" s="28"/>
      <c r="D463" s="60"/>
      <c r="E463" s="53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</row>
    <row r="464" spans="1:50" x14ac:dyDescent="0.25">
      <c r="A464" s="28"/>
      <c r="B464" s="60"/>
      <c r="C464" s="28"/>
      <c r="D464" s="60"/>
      <c r="E464" s="53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</row>
    <row r="465" spans="1:50" x14ac:dyDescent="0.25">
      <c r="A465" s="28"/>
      <c r="B465" s="60"/>
      <c r="C465" s="28"/>
      <c r="D465" s="60"/>
      <c r="E465" s="53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</row>
    <row r="466" spans="1:50" x14ac:dyDescent="0.25">
      <c r="A466" s="28"/>
      <c r="B466" s="60"/>
      <c r="C466" s="28"/>
      <c r="D466" s="60"/>
      <c r="E466" s="53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</row>
    <row r="467" spans="1:50" x14ac:dyDescent="0.25">
      <c r="A467" s="28"/>
      <c r="B467" s="60"/>
      <c r="C467" s="28"/>
      <c r="D467" s="60"/>
      <c r="E467" s="53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</row>
    <row r="468" spans="1:50" x14ac:dyDescent="0.25">
      <c r="A468" s="28"/>
      <c r="B468" s="60"/>
      <c r="C468" s="28"/>
      <c r="D468" s="60"/>
      <c r="E468" s="53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</row>
    <row r="469" spans="1:50" x14ac:dyDescent="0.25">
      <c r="A469" s="28"/>
      <c r="B469" s="60"/>
      <c r="C469" s="28"/>
      <c r="D469" s="60"/>
      <c r="E469" s="53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</row>
    <row r="470" spans="1:50" x14ac:dyDescent="0.25">
      <c r="A470" s="28"/>
      <c r="B470" s="60"/>
      <c r="C470" s="28"/>
      <c r="D470" s="60"/>
      <c r="E470" s="53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</row>
    <row r="471" spans="1:50" x14ac:dyDescent="0.25">
      <c r="A471" s="28"/>
      <c r="B471" s="60"/>
      <c r="C471" s="28"/>
      <c r="D471" s="60"/>
      <c r="E471" s="53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</row>
    <row r="472" spans="1:50" x14ac:dyDescent="0.25">
      <c r="A472" s="28"/>
      <c r="B472" s="60"/>
      <c r="C472" s="28"/>
      <c r="D472" s="60"/>
      <c r="E472" s="53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</row>
    <row r="473" spans="1:50" x14ac:dyDescent="0.25">
      <c r="A473" s="28"/>
      <c r="B473" s="60"/>
      <c r="C473" s="28"/>
      <c r="D473" s="60"/>
      <c r="E473" s="53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</row>
    <row r="474" spans="1:50" x14ac:dyDescent="0.25">
      <c r="A474" s="28"/>
      <c r="B474" s="60"/>
      <c r="C474" s="28"/>
      <c r="D474" s="60"/>
      <c r="E474" s="53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</row>
    <row r="475" spans="1:50" x14ac:dyDescent="0.25">
      <c r="A475" s="28"/>
      <c r="B475" s="60"/>
      <c r="C475" s="28"/>
      <c r="D475" s="60"/>
      <c r="E475" s="53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</row>
    <row r="476" spans="1:50" x14ac:dyDescent="0.25">
      <c r="A476" s="28"/>
      <c r="B476" s="60"/>
      <c r="C476" s="28"/>
      <c r="D476" s="60"/>
      <c r="E476" s="53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</row>
    <row r="477" spans="1:50" x14ac:dyDescent="0.25">
      <c r="A477" s="28"/>
      <c r="B477" s="60"/>
      <c r="C477" s="28"/>
      <c r="D477" s="60"/>
      <c r="E477" s="53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</row>
    <row r="478" spans="1:50" x14ac:dyDescent="0.25">
      <c r="A478" s="28"/>
      <c r="B478" s="60"/>
      <c r="C478" s="28"/>
      <c r="D478" s="60"/>
      <c r="E478" s="53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</row>
    <row r="479" spans="1:50" x14ac:dyDescent="0.25">
      <c r="A479" s="28"/>
      <c r="B479" s="60"/>
      <c r="C479" s="28"/>
      <c r="D479" s="60"/>
      <c r="E479" s="53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</row>
    <row r="480" spans="1:50" x14ac:dyDescent="0.25">
      <c r="A480" s="28"/>
      <c r="B480" s="60"/>
      <c r="C480" s="28"/>
      <c r="D480" s="60"/>
      <c r="E480" s="53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</row>
    <row r="481" spans="1:50" x14ac:dyDescent="0.25">
      <c r="A481" s="28"/>
      <c r="B481" s="60"/>
      <c r="C481" s="28"/>
      <c r="D481" s="60"/>
      <c r="E481" s="53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</row>
    <row r="482" spans="1:50" x14ac:dyDescent="0.25">
      <c r="A482" s="28"/>
      <c r="B482" s="60"/>
      <c r="C482" s="28"/>
      <c r="D482" s="60"/>
      <c r="E482" s="53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</row>
    <row r="483" spans="1:50" x14ac:dyDescent="0.25">
      <c r="A483" s="28"/>
      <c r="B483" s="60"/>
      <c r="C483" s="28"/>
      <c r="D483" s="60"/>
      <c r="E483" s="53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</row>
    <row r="484" spans="1:50" x14ac:dyDescent="0.25">
      <c r="A484" s="28"/>
      <c r="B484" s="60"/>
      <c r="C484" s="28"/>
      <c r="D484" s="60"/>
      <c r="E484" s="53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</row>
    <row r="485" spans="1:50" x14ac:dyDescent="0.25">
      <c r="A485" s="28"/>
      <c r="B485" s="60"/>
      <c r="C485" s="28"/>
      <c r="D485" s="60"/>
      <c r="E485" s="53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</row>
    <row r="486" spans="1:50" x14ac:dyDescent="0.25">
      <c r="A486" s="28"/>
      <c r="B486" s="60"/>
      <c r="C486" s="28"/>
      <c r="D486" s="60"/>
      <c r="E486" s="53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</row>
    <row r="487" spans="1:50" x14ac:dyDescent="0.25">
      <c r="A487" s="28"/>
      <c r="B487" s="60"/>
      <c r="C487" s="28"/>
      <c r="D487" s="60"/>
      <c r="E487" s="53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</row>
    <row r="488" spans="1:50" x14ac:dyDescent="0.25">
      <c r="A488" s="28"/>
      <c r="B488" s="60"/>
      <c r="C488" s="28"/>
      <c r="D488" s="60"/>
      <c r="E488" s="53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</row>
    <row r="489" spans="1:50" x14ac:dyDescent="0.25">
      <c r="A489" s="28"/>
      <c r="B489" s="60"/>
      <c r="C489" s="28"/>
      <c r="D489" s="60"/>
      <c r="E489" s="53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</row>
    <row r="490" spans="1:50" x14ac:dyDescent="0.25">
      <c r="A490" s="28"/>
      <c r="B490" s="60"/>
      <c r="C490" s="28"/>
      <c r="D490" s="60"/>
      <c r="E490" s="53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</row>
    <row r="491" spans="1:50" x14ac:dyDescent="0.25">
      <c r="A491" s="28"/>
      <c r="B491" s="60"/>
      <c r="C491" s="28"/>
      <c r="D491" s="60"/>
      <c r="E491" s="53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</row>
    <row r="492" spans="1:50" x14ac:dyDescent="0.25">
      <c r="A492" s="28"/>
      <c r="B492" s="60"/>
      <c r="C492" s="28"/>
      <c r="D492" s="60"/>
      <c r="E492" s="53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</row>
    <row r="493" spans="1:50" x14ac:dyDescent="0.25">
      <c r="A493" s="28"/>
      <c r="B493" s="60"/>
      <c r="C493" s="28"/>
      <c r="D493" s="60"/>
      <c r="E493" s="53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</row>
    <row r="494" spans="1:50" x14ac:dyDescent="0.25">
      <c r="A494" s="28"/>
      <c r="B494" s="60"/>
      <c r="C494" s="28"/>
      <c r="D494" s="60"/>
      <c r="E494" s="53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</row>
    <row r="495" spans="1:50" x14ac:dyDescent="0.25">
      <c r="A495" s="28"/>
      <c r="B495" s="60"/>
      <c r="C495" s="28"/>
      <c r="D495" s="60"/>
      <c r="E495" s="53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</row>
    <row r="496" spans="1:50" x14ac:dyDescent="0.25">
      <c r="A496" s="28"/>
      <c r="B496" s="60"/>
      <c r="C496" s="28"/>
      <c r="D496" s="60"/>
      <c r="E496" s="53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</row>
    <row r="497" spans="1:50" x14ac:dyDescent="0.25">
      <c r="A497" s="28"/>
      <c r="B497" s="60"/>
      <c r="C497" s="28"/>
      <c r="D497" s="60"/>
      <c r="E497" s="53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</row>
    <row r="498" spans="1:50" x14ac:dyDescent="0.25">
      <c r="A498" s="28"/>
      <c r="B498" s="60"/>
      <c r="C498" s="28"/>
      <c r="D498" s="60"/>
      <c r="E498" s="53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</row>
    <row r="499" spans="1:50" x14ac:dyDescent="0.25">
      <c r="A499" s="28"/>
      <c r="B499" s="60"/>
      <c r="C499" s="28"/>
      <c r="D499" s="60"/>
      <c r="E499" s="53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</row>
    <row r="500" spans="1:50" x14ac:dyDescent="0.25">
      <c r="A500" s="28"/>
      <c r="B500" s="60"/>
      <c r="C500" s="28"/>
      <c r="D500" s="60"/>
      <c r="E500" s="53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</row>
    <row r="501" spans="1:50" x14ac:dyDescent="0.25">
      <c r="A501" s="28"/>
      <c r="B501" s="60"/>
      <c r="C501" s="28"/>
      <c r="D501" s="60"/>
      <c r="E501" s="53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</row>
    <row r="502" spans="1:50" x14ac:dyDescent="0.25">
      <c r="A502" s="28"/>
      <c r="B502" s="60"/>
      <c r="C502" s="28"/>
      <c r="D502" s="60"/>
      <c r="E502" s="53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</row>
    <row r="503" spans="1:50" x14ac:dyDescent="0.25">
      <c r="A503" s="28"/>
      <c r="B503" s="60"/>
      <c r="C503" s="28"/>
      <c r="D503" s="60"/>
      <c r="E503" s="53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</row>
    <row r="504" spans="1:50" x14ac:dyDescent="0.25">
      <c r="A504" s="28"/>
      <c r="B504" s="60"/>
      <c r="C504" s="28"/>
      <c r="D504" s="60"/>
      <c r="E504" s="53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</row>
    <row r="505" spans="1:50" x14ac:dyDescent="0.25">
      <c r="A505" s="28"/>
      <c r="B505" s="60"/>
      <c r="C505" s="28"/>
      <c r="D505" s="60"/>
      <c r="E505" s="53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</row>
    <row r="506" spans="1:50" x14ac:dyDescent="0.25">
      <c r="A506" s="28"/>
      <c r="B506" s="60"/>
      <c r="C506" s="28"/>
      <c r="D506" s="60"/>
      <c r="E506" s="53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</row>
    <row r="507" spans="1:50" x14ac:dyDescent="0.25">
      <c r="A507" s="28"/>
      <c r="B507" s="60"/>
      <c r="C507" s="28"/>
      <c r="D507" s="60"/>
      <c r="E507" s="53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</row>
    <row r="508" spans="1:50" x14ac:dyDescent="0.25">
      <c r="A508" s="28"/>
      <c r="B508" s="60"/>
      <c r="C508" s="28"/>
      <c r="D508" s="60"/>
      <c r="E508" s="53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</row>
    <row r="509" spans="1:50" x14ac:dyDescent="0.25">
      <c r="A509" s="28"/>
      <c r="B509" s="60"/>
      <c r="C509" s="28"/>
      <c r="D509" s="60"/>
      <c r="E509" s="53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</row>
    <row r="510" spans="1:50" x14ac:dyDescent="0.25">
      <c r="A510" s="28"/>
      <c r="B510" s="60"/>
      <c r="C510" s="28"/>
      <c r="D510" s="60"/>
      <c r="E510" s="53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</row>
    <row r="511" spans="1:50" x14ac:dyDescent="0.25">
      <c r="A511" s="28"/>
      <c r="B511" s="60"/>
      <c r="C511" s="28"/>
      <c r="D511" s="60"/>
      <c r="E511" s="53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</row>
    <row r="512" spans="1:50" x14ac:dyDescent="0.25">
      <c r="A512" s="28"/>
      <c r="B512" s="60"/>
      <c r="C512" s="28"/>
      <c r="D512" s="60"/>
      <c r="E512" s="53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</row>
    <row r="513" spans="1:50" x14ac:dyDescent="0.25">
      <c r="A513" s="28"/>
      <c r="B513" s="60"/>
      <c r="C513" s="28"/>
      <c r="D513" s="60"/>
      <c r="E513" s="53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</row>
    <row r="514" spans="1:50" x14ac:dyDescent="0.25">
      <c r="A514" s="28"/>
      <c r="B514" s="60"/>
      <c r="C514" s="28"/>
      <c r="D514" s="60"/>
      <c r="E514" s="53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</row>
    <row r="515" spans="1:50" x14ac:dyDescent="0.25">
      <c r="A515" s="28"/>
      <c r="B515" s="60"/>
      <c r="C515" s="28"/>
      <c r="D515" s="60"/>
      <c r="E515" s="53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</row>
    <row r="516" spans="1:50" x14ac:dyDescent="0.25">
      <c r="A516" s="28"/>
      <c r="B516" s="60"/>
      <c r="C516" s="28"/>
      <c r="D516" s="60"/>
      <c r="E516" s="53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</row>
    <row r="517" spans="1:50" x14ac:dyDescent="0.25">
      <c r="A517" s="28"/>
      <c r="B517" s="60"/>
      <c r="C517" s="28"/>
      <c r="D517" s="60"/>
      <c r="E517" s="53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</row>
    <row r="518" spans="1:50" x14ac:dyDescent="0.25">
      <c r="A518" s="28"/>
      <c r="B518" s="60"/>
      <c r="C518" s="28"/>
      <c r="D518" s="60"/>
      <c r="E518" s="53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</row>
    <row r="519" spans="1:50" x14ac:dyDescent="0.25">
      <c r="A519" s="28"/>
      <c r="B519" s="60"/>
      <c r="C519" s="28"/>
      <c r="D519" s="60"/>
      <c r="E519" s="53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</row>
    <row r="520" spans="1:50" x14ac:dyDescent="0.25">
      <c r="A520" s="28"/>
      <c r="B520" s="60"/>
      <c r="C520" s="28"/>
      <c r="D520" s="60"/>
      <c r="E520" s="53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</row>
    <row r="521" spans="1:50" x14ac:dyDescent="0.25">
      <c r="A521" s="28"/>
      <c r="B521" s="60"/>
      <c r="C521" s="28"/>
      <c r="D521" s="60"/>
      <c r="E521" s="53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</row>
    <row r="522" spans="1:50" x14ac:dyDescent="0.25">
      <c r="A522" s="28"/>
      <c r="B522" s="60"/>
      <c r="C522" s="28"/>
      <c r="D522" s="60"/>
      <c r="E522" s="53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</row>
    <row r="523" spans="1:50" x14ac:dyDescent="0.25">
      <c r="A523" s="28"/>
      <c r="B523" s="60"/>
      <c r="C523" s="28"/>
      <c r="D523" s="60"/>
      <c r="E523" s="53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</row>
    <row r="524" spans="1:50" x14ac:dyDescent="0.25">
      <c r="A524" s="28"/>
      <c r="B524" s="60"/>
      <c r="C524" s="28"/>
      <c r="D524" s="60"/>
      <c r="E524" s="53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</row>
    <row r="525" spans="1:50" x14ac:dyDescent="0.25">
      <c r="A525" s="28"/>
      <c r="B525" s="60"/>
      <c r="C525" s="28"/>
      <c r="D525" s="60"/>
      <c r="E525" s="53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</row>
    <row r="526" spans="1:50" x14ac:dyDescent="0.25">
      <c r="A526" s="28"/>
      <c r="B526" s="60"/>
      <c r="C526" s="28"/>
      <c r="D526" s="60"/>
      <c r="E526" s="53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</row>
    <row r="527" spans="1:50" x14ac:dyDescent="0.25">
      <c r="A527" s="28"/>
      <c r="B527" s="60"/>
      <c r="C527" s="28"/>
      <c r="D527" s="60"/>
      <c r="E527" s="53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</row>
    <row r="528" spans="1:50" x14ac:dyDescent="0.25">
      <c r="A528" s="28"/>
      <c r="B528" s="60"/>
      <c r="C528" s="28"/>
      <c r="D528" s="60"/>
      <c r="E528" s="53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</row>
    <row r="529" spans="1:50" x14ac:dyDescent="0.25">
      <c r="A529" s="28"/>
      <c r="B529" s="60"/>
      <c r="C529" s="28"/>
      <c r="D529" s="60"/>
      <c r="E529" s="53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</row>
    <row r="530" spans="1:50" x14ac:dyDescent="0.25">
      <c r="A530" s="28"/>
      <c r="B530" s="60"/>
      <c r="C530" s="28"/>
      <c r="D530" s="60"/>
      <c r="E530" s="53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</row>
    <row r="531" spans="1:50" x14ac:dyDescent="0.25">
      <c r="A531" s="28"/>
      <c r="B531" s="60"/>
      <c r="C531" s="28"/>
      <c r="D531" s="60"/>
      <c r="E531" s="53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</row>
    <row r="532" spans="1:50" x14ac:dyDescent="0.25">
      <c r="A532" s="28"/>
      <c r="B532" s="60"/>
      <c r="C532" s="28"/>
      <c r="D532" s="60"/>
      <c r="E532" s="53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</row>
    <row r="533" spans="1:50" x14ac:dyDescent="0.25">
      <c r="A533" s="28"/>
      <c r="B533" s="60"/>
      <c r="C533" s="28"/>
      <c r="D533" s="60"/>
      <c r="E533" s="53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</row>
    <row r="534" spans="1:50" x14ac:dyDescent="0.25">
      <c r="A534" s="28"/>
      <c r="B534" s="60"/>
      <c r="C534" s="28"/>
      <c r="D534" s="60"/>
      <c r="E534" s="53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</row>
    <row r="535" spans="1:50" x14ac:dyDescent="0.25">
      <c r="A535" s="28"/>
      <c r="B535" s="60"/>
      <c r="C535" s="28"/>
      <c r="D535" s="60"/>
      <c r="E535" s="53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</row>
    <row r="536" spans="1:50" x14ac:dyDescent="0.25">
      <c r="A536" s="28"/>
      <c r="B536" s="60"/>
      <c r="C536" s="28"/>
      <c r="D536" s="60"/>
      <c r="E536" s="53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</row>
    <row r="537" spans="1:50" x14ac:dyDescent="0.25">
      <c r="A537" s="28"/>
      <c r="B537" s="60"/>
      <c r="C537" s="28"/>
      <c r="D537" s="60"/>
      <c r="E537" s="53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</row>
    <row r="538" spans="1:50" x14ac:dyDescent="0.25">
      <c r="A538" s="28"/>
      <c r="B538" s="60"/>
      <c r="C538" s="28"/>
      <c r="D538" s="60"/>
      <c r="E538" s="53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</row>
    <row r="539" spans="1:50" x14ac:dyDescent="0.25">
      <c r="A539" s="28"/>
      <c r="B539" s="60"/>
      <c r="C539" s="28"/>
      <c r="D539" s="60"/>
      <c r="E539" s="53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</row>
    <row r="540" spans="1:50" x14ac:dyDescent="0.25">
      <c r="A540" s="28"/>
      <c r="B540" s="60"/>
      <c r="C540" s="28"/>
      <c r="D540" s="60"/>
      <c r="E540" s="53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</row>
    <row r="541" spans="1:50" x14ac:dyDescent="0.25">
      <c r="A541" s="28"/>
      <c r="B541" s="60"/>
      <c r="C541" s="28"/>
      <c r="D541" s="60"/>
      <c r="E541" s="53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</row>
    <row r="542" spans="1:50" x14ac:dyDescent="0.25">
      <c r="A542" s="28"/>
      <c r="B542" s="60"/>
      <c r="C542" s="28"/>
      <c r="D542" s="60"/>
      <c r="E542" s="53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</row>
    <row r="543" spans="1:50" x14ac:dyDescent="0.25">
      <c r="A543" s="28"/>
      <c r="B543" s="60"/>
      <c r="C543" s="28"/>
      <c r="D543" s="60"/>
      <c r="E543" s="53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</row>
    <row r="544" spans="1:50" x14ac:dyDescent="0.25">
      <c r="A544" s="28"/>
      <c r="B544" s="60"/>
      <c r="C544" s="28"/>
      <c r="D544" s="60"/>
      <c r="E544" s="53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</row>
    <row r="545" spans="1:50" x14ac:dyDescent="0.25">
      <c r="A545" s="28"/>
      <c r="B545" s="60"/>
      <c r="C545" s="28"/>
      <c r="D545" s="60"/>
      <c r="E545" s="53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</row>
    <row r="546" spans="1:50" x14ac:dyDescent="0.25">
      <c r="A546" s="28"/>
      <c r="B546" s="60"/>
      <c r="C546" s="28"/>
      <c r="D546" s="60"/>
      <c r="E546" s="53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</row>
    <row r="547" spans="1:50" x14ac:dyDescent="0.25">
      <c r="A547" s="28"/>
      <c r="B547" s="60"/>
      <c r="C547" s="28"/>
      <c r="D547" s="60"/>
      <c r="E547" s="53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</row>
    <row r="548" spans="1:50" x14ac:dyDescent="0.25">
      <c r="A548" s="28"/>
      <c r="B548" s="60"/>
      <c r="C548" s="28"/>
      <c r="D548" s="60"/>
      <c r="E548" s="53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</row>
    <row r="549" spans="1:50" x14ac:dyDescent="0.25">
      <c r="A549" s="28"/>
      <c r="B549" s="60"/>
      <c r="C549" s="28"/>
      <c r="D549" s="60"/>
      <c r="E549" s="53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</row>
    <row r="550" spans="1:50" x14ac:dyDescent="0.25">
      <c r="A550" s="28"/>
      <c r="B550" s="60"/>
      <c r="C550" s="28"/>
      <c r="D550" s="60"/>
      <c r="E550" s="53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</row>
    <row r="551" spans="1:50" x14ac:dyDescent="0.25">
      <c r="A551" s="28"/>
      <c r="B551" s="60"/>
      <c r="C551" s="28"/>
      <c r="D551" s="60"/>
      <c r="E551" s="53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</row>
    <row r="552" spans="1:50" x14ac:dyDescent="0.25">
      <c r="A552" s="28"/>
      <c r="B552" s="60"/>
      <c r="C552" s="28"/>
      <c r="D552" s="60"/>
      <c r="E552" s="53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</row>
    <row r="553" spans="1:50" x14ac:dyDescent="0.25">
      <c r="A553" s="28"/>
      <c r="B553" s="60"/>
      <c r="C553" s="28"/>
      <c r="D553" s="60"/>
      <c r="E553" s="53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</row>
    <row r="554" spans="1:50" x14ac:dyDescent="0.25">
      <c r="A554" s="28"/>
      <c r="B554" s="60"/>
      <c r="C554" s="28"/>
      <c r="D554" s="60"/>
      <c r="E554" s="53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</row>
    <row r="555" spans="1:50" x14ac:dyDescent="0.25">
      <c r="A555" s="28"/>
      <c r="B555" s="60"/>
      <c r="C555" s="28"/>
      <c r="D555" s="60"/>
      <c r="E555" s="53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</row>
    <row r="556" spans="1:50" x14ac:dyDescent="0.25">
      <c r="A556" s="28"/>
      <c r="B556" s="60"/>
      <c r="C556" s="28"/>
      <c r="D556" s="60"/>
      <c r="E556" s="53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</row>
    <row r="557" spans="1:50" x14ac:dyDescent="0.25">
      <c r="A557" s="28"/>
      <c r="B557" s="60"/>
      <c r="C557" s="28"/>
      <c r="D557" s="60"/>
      <c r="E557" s="53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</row>
    <row r="558" spans="1:50" x14ac:dyDescent="0.25">
      <c r="A558" s="28"/>
      <c r="B558" s="60"/>
      <c r="C558" s="28"/>
      <c r="D558" s="60"/>
      <c r="E558" s="53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</row>
    <row r="559" spans="1:50" x14ac:dyDescent="0.25">
      <c r="A559" s="28"/>
      <c r="B559" s="60"/>
      <c r="C559" s="28"/>
      <c r="D559" s="60"/>
      <c r="E559" s="53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</row>
    <row r="560" spans="1:50" x14ac:dyDescent="0.25">
      <c r="A560" s="28"/>
      <c r="B560" s="60"/>
      <c r="C560" s="28"/>
      <c r="D560" s="60"/>
      <c r="E560" s="53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</row>
    <row r="561" spans="1:50" x14ac:dyDescent="0.25">
      <c r="A561" s="28"/>
      <c r="B561" s="60"/>
      <c r="C561" s="28"/>
      <c r="D561" s="60"/>
      <c r="E561" s="53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</row>
    <row r="562" spans="1:50" x14ac:dyDescent="0.25">
      <c r="A562" s="28"/>
      <c r="B562" s="60"/>
      <c r="C562" s="28"/>
      <c r="D562" s="60"/>
      <c r="E562" s="53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</row>
    <row r="563" spans="1:50" x14ac:dyDescent="0.25">
      <c r="A563" s="28"/>
      <c r="B563" s="60"/>
      <c r="C563" s="28"/>
      <c r="D563" s="60"/>
      <c r="E563" s="53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</row>
    <row r="564" spans="1:50" x14ac:dyDescent="0.25">
      <c r="A564" s="28"/>
      <c r="B564" s="60"/>
      <c r="C564" s="28"/>
      <c r="D564" s="60"/>
      <c r="E564" s="53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</row>
    <row r="565" spans="1:50" x14ac:dyDescent="0.25">
      <c r="A565" s="28"/>
      <c r="B565" s="60"/>
      <c r="C565" s="28"/>
      <c r="D565" s="60"/>
      <c r="E565" s="53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</row>
    <row r="566" spans="1:50" x14ac:dyDescent="0.25">
      <c r="A566" s="28"/>
      <c r="B566" s="60"/>
      <c r="C566" s="28"/>
      <c r="D566" s="60"/>
      <c r="E566" s="53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</row>
    <row r="567" spans="1:50" x14ac:dyDescent="0.25">
      <c r="A567" s="28"/>
      <c r="B567" s="60"/>
      <c r="C567" s="28"/>
      <c r="D567" s="60"/>
      <c r="E567" s="53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</row>
    <row r="568" spans="1:50" x14ac:dyDescent="0.25">
      <c r="A568" s="28"/>
      <c r="B568" s="60"/>
      <c r="C568" s="28"/>
      <c r="D568" s="60"/>
      <c r="E568" s="53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</row>
    <row r="569" spans="1:50" x14ac:dyDescent="0.25">
      <c r="A569" s="28"/>
      <c r="B569" s="60"/>
      <c r="C569" s="28"/>
      <c r="D569" s="60"/>
      <c r="E569" s="53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</row>
    <row r="570" spans="1:50" x14ac:dyDescent="0.25">
      <c r="A570" s="28"/>
      <c r="B570" s="60"/>
      <c r="C570" s="28"/>
      <c r="D570" s="60"/>
      <c r="E570" s="53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</row>
    <row r="571" spans="1:50" x14ac:dyDescent="0.25">
      <c r="A571" s="28"/>
      <c r="B571" s="60"/>
      <c r="C571" s="28"/>
      <c r="D571" s="60"/>
      <c r="E571" s="53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</row>
    <row r="572" spans="1:50" x14ac:dyDescent="0.25">
      <c r="A572" s="28"/>
      <c r="B572" s="60"/>
      <c r="C572" s="28"/>
      <c r="D572" s="60"/>
      <c r="E572" s="53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</row>
    <row r="573" spans="1:50" x14ac:dyDescent="0.25">
      <c r="A573" s="28"/>
      <c r="B573" s="60"/>
      <c r="C573" s="28"/>
      <c r="D573" s="60"/>
      <c r="E573" s="53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</row>
    <row r="574" spans="1:50" x14ac:dyDescent="0.25">
      <c r="A574" s="28"/>
      <c r="B574" s="60"/>
      <c r="C574" s="28"/>
      <c r="D574" s="60"/>
      <c r="E574" s="53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</row>
    <row r="575" spans="1:50" x14ac:dyDescent="0.25">
      <c r="A575" s="28"/>
      <c r="B575" s="60"/>
      <c r="C575" s="28"/>
      <c r="D575" s="60"/>
      <c r="E575" s="53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</row>
  </sheetData>
  <autoFilter ref="A10:O97"/>
  <mergeCells count="2">
    <mergeCell ref="F5:N5"/>
    <mergeCell ref="F6:N6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G58:H58 G53:H53 J63:J64 G75:H75 M17 F17:H17 F13:H13 J37 M53 M29 F20:H20 F22:H22 F49 F84:H84 M49 M13 M58 F29:H29 F79:H79 G47:H47 J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118"/>
  <sheetViews>
    <sheetView topLeftCell="A85" workbookViewId="0">
      <selection activeCell="C45" sqref="C45"/>
    </sheetView>
  </sheetViews>
  <sheetFormatPr baseColWidth="10" defaultRowHeight="15" x14ac:dyDescent="0.25"/>
  <cols>
    <col min="1" max="1" width="8.5703125" customWidth="1"/>
    <col min="3" max="3" width="43" customWidth="1"/>
    <col min="5" max="5" width="15.7109375" customWidth="1"/>
    <col min="9" max="9" width="16.7109375" customWidth="1"/>
  </cols>
  <sheetData>
    <row r="6" spans="1:60" ht="14.25" customHeight="1" x14ac:dyDescent="0.25"/>
    <row r="7" spans="1:60" x14ac:dyDescent="0.25">
      <c r="C7" s="5" t="s">
        <v>143</v>
      </c>
    </row>
    <row r="11" spans="1:60" ht="15.75" thickBot="1" x14ac:dyDescent="0.3"/>
    <row r="12" spans="1:60" x14ac:dyDescent="0.25">
      <c r="A12" s="101"/>
      <c r="B12" s="104" t="s">
        <v>95</v>
      </c>
      <c r="C12" s="104" t="s">
        <v>96</v>
      </c>
      <c r="D12" s="104" t="s">
        <v>4</v>
      </c>
      <c r="E12" s="104" t="s">
        <v>129</v>
      </c>
      <c r="F12" s="95" t="s">
        <v>97</v>
      </c>
      <c r="G12" s="95" t="s">
        <v>98</v>
      </c>
      <c r="H12" s="95" t="s">
        <v>99</v>
      </c>
      <c r="I12" s="98" t="s">
        <v>100</v>
      </c>
    </row>
    <row r="13" spans="1:60" x14ac:dyDescent="0.25">
      <c r="A13" s="102"/>
      <c r="B13" s="105"/>
      <c r="C13" s="105"/>
      <c r="D13" s="105"/>
      <c r="E13" s="105"/>
      <c r="F13" s="96"/>
      <c r="G13" s="96"/>
      <c r="H13" s="96"/>
      <c r="I13" s="99"/>
    </row>
    <row r="14" spans="1:60" ht="15.75" thickBot="1" x14ac:dyDescent="0.3">
      <c r="A14" s="103"/>
      <c r="B14" s="106"/>
      <c r="C14" s="106"/>
      <c r="D14" s="106"/>
      <c r="E14" s="106"/>
      <c r="F14" s="97"/>
      <c r="G14" s="97"/>
      <c r="H14" s="97"/>
      <c r="I14" s="100"/>
    </row>
    <row r="15" spans="1:60" ht="15.75" thickBot="1" x14ac:dyDescent="0.3">
      <c r="A15" s="23"/>
      <c r="B15" s="24"/>
      <c r="C15" s="24"/>
      <c r="D15" s="24"/>
      <c r="E15" s="24"/>
      <c r="F15" s="25"/>
      <c r="G15" s="25"/>
      <c r="H15" s="24"/>
      <c r="I15" s="24"/>
    </row>
    <row r="16" spans="1:60" s="73" customFormat="1" x14ac:dyDescent="0.25">
      <c r="A16" s="68">
        <v>1</v>
      </c>
      <c r="B16" s="69" t="s">
        <v>101</v>
      </c>
      <c r="C16" s="70" t="s">
        <v>13</v>
      </c>
      <c r="D16" s="71">
        <f>27565.5*2</f>
        <v>55131</v>
      </c>
      <c r="E16" s="72">
        <f>D16*0.175</f>
        <v>9647.9249999999993</v>
      </c>
      <c r="F16" s="72">
        <f t="shared" ref="F16:F79" si="0">D16*0.03</f>
        <v>1653.9299999999998</v>
      </c>
      <c r="G16" s="72">
        <f t="shared" ref="G16:G79" si="1">D16*0.02</f>
        <v>1102.6200000000001</v>
      </c>
      <c r="H16" s="71">
        <f>1028.5*2</f>
        <v>2057</v>
      </c>
      <c r="I16" s="71">
        <f>728.5*2</f>
        <v>1457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</row>
    <row r="17" spans="1:60" s="28" customFormat="1" x14ac:dyDescent="0.25">
      <c r="A17" s="39">
        <v>2</v>
      </c>
      <c r="B17" s="7" t="s">
        <v>101</v>
      </c>
      <c r="C17" s="35" t="s">
        <v>29</v>
      </c>
      <c r="D17" s="4">
        <f>12864.5*2</f>
        <v>25729</v>
      </c>
      <c r="E17" s="6">
        <f t="shared" ref="E17:E80" si="2">D17*0.175</f>
        <v>4502.5749999999998</v>
      </c>
      <c r="F17" s="6">
        <f t="shared" si="0"/>
        <v>771.87</v>
      </c>
      <c r="G17" s="6">
        <f t="shared" si="1"/>
        <v>514.58000000000004</v>
      </c>
      <c r="H17" s="4">
        <f>643*2</f>
        <v>1286</v>
      </c>
      <c r="I17" s="4">
        <f>428.5*2</f>
        <v>857</v>
      </c>
    </row>
    <row r="18" spans="1:60" s="73" customFormat="1" x14ac:dyDescent="0.25">
      <c r="A18" s="74">
        <v>3</v>
      </c>
      <c r="B18" s="75" t="s">
        <v>101</v>
      </c>
      <c r="C18" s="70" t="s">
        <v>16</v>
      </c>
      <c r="D18" s="71">
        <f>11416*2</f>
        <v>22832</v>
      </c>
      <c r="E18" s="76">
        <f t="shared" si="2"/>
        <v>3995.6</v>
      </c>
      <c r="F18" s="76">
        <f t="shared" si="0"/>
        <v>684.95999999999992</v>
      </c>
      <c r="G18" s="76">
        <f t="shared" si="1"/>
        <v>456.64</v>
      </c>
      <c r="H18" s="71">
        <f>623.5*2</f>
        <v>1247</v>
      </c>
      <c r="I18" s="71">
        <f>389.5*2</f>
        <v>779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</row>
    <row r="19" spans="1:60" s="28" customFormat="1" x14ac:dyDescent="0.25">
      <c r="A19" s="39">
        <v>4</v>
      </c>
      <c r="B19" s="7" t="s">
        <v>101</v>
      </c>
      <c r="C19" s="35" t="s">
        <v>21</v>
      </c>
      <c r="D19" s="4">
        <f>7366.5*2</f>
        <v>14733</v>
      </c>
      <c r="E19" s="6">
        <f t="shared" si="2"/>
        <v>2578.2749999999996</v>
      </c>
      <c r="F19" s="6">
        <f t="shared" si="0"/>
        <v>441.99</v>
      </c>
      <c r="G19" s="6">
        <f t="shared" si="1"/>
        <v>294.66000000000003</v>
      </c>
      <c r="H19" s="4">
        <f>546.5*2</f>
        <v>1093</v>
      </c>
      <c r="I19" s="4">
        <f>339.5*2</f>
        <v>679</v>
      </c>
    </row>
    <row r="20" spans="1:60" s="73" customFormat="1" x14ac:dyDescent="0.25">
      <c r="A20" s="74">
        <v>5</v>
      </c>
      <c r="B20" s="75" t="s">
        <v>101</v>
      </c>
      <c r="C20" s="70" t="s">
        <v>21</v>
      </c>
      <c r="D20" s="71">
        <f>7366.5*2</f>
        <v>14733</v>
      </c>
      <c r="E20" s="76">
        <f t="shared" si="2"/>
        <v>2578.2749999999996</v>
      </c>
      <c r="F20" s="76">
        <f t="shared" si="0"/>
        <v>441.99</v>
      </c>
      <c r="G20" s="76">
        <f t="shared" si="1"/>
        <v>294.66000000000003</v>
      </c>
      <c r="H20" s="71">
        <f>546.5*2</f>
        <v>1093</v>
      </c>
      <c r="I20" s="71">
        <f>339.5*2</f>
        <v>679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</row>
    <row r="21" spans="1:60" s="28" customFormat="1" x14ac:dyDescent="0.25">
      <c r="A21" s="39">
        <v>6</v>
      </c>
      <c r="B21" s="7" t="s">
        <v>101</v>
      </c>
      <c r="C21" s="35" t="s">
        <v>24</v>
      </c>
      <c r="D21" s="4">
        <f>7366.5*2</f>
        <v>14733</v>
      </c>
      <c r="E21" s="6">
        <f t="shared" si="2"/>
        <v>2578.2749999999996</v>
      </c>
      <c r="F21" s="6">
        <f t="shared" si="0"/>
        <v>441.99</v>
      </c>
      <c r="G21" s="6">
        <f t="shared" si="1"/>
        <v>294.66000000000003</v>
      </c>
      <c r="H21" s="4">
        <f>546.5*2</f>
        <v>1093</v>
      </c>
      <c r="I21" s="4">
        <f>339.5*2</f>
        <v>679</v>
      </c>
    </row>
    <row r="22" spans="1:60" s="73" customFormat="1" x14ac:dyDescent="0.25">
      <c r="A22" s="74">
        <v>7</v>
      </c>
      <c r="B22" s="75" t="s">
        <v>101</v>
      </c>
      <c r="C22" s="70" t="s">
        <v>26</v>
      </c>
      <c r="D22" s="71">
        <f>12864.5*2</f>
        <v>25729</v>
      </c>
      <c r="E22" s="76">
        <f t="shared" si="2"/>
        <v>4502.5749999999998</v>
      </c>
      <c r="F22" s="76">
        <f t="shared" si="0"/>
        <v>771.87</v>
      </c>
      <c r="G22" s="76">
        <f t="shared" si="1"/>
        <v>514.58000000000004</v>
      </c>
      <c r="H22" s="71">
        <f>643*2</f>
        <v>1286</v>
      </c>
      <c r="I22" s="71">
        <f>428.5*2</f>
        <v>857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8" customFormat="1" x14ac:dyDescent="0.25">
      <c r="A23" s="39">
        <v>8</v>
      </c>
      <c r="B23" s="7" t="s">
        <v>101</v>
      </c>
      <c r="C23" s="35" t="s">
        <v>21</v>
      </c>
      <c r="D23" s="4">
        <f>7366.5*2</f>
        <v>14733</v>
      </c>
      <c r="E23" s="6">
        <f t="shared" si="2"/>
        <v>2578.2749999999996</v>
      </c>
      <c r="F23" s="6">
        <f t="shared" si="0"/>
        <v>441.99</v>
      </c>
      <c r="G23" s="6">
        <f t="shared" si="1"/>
        <v>294.66000000000003</v>
      </c>
      <c r="H23" s="4">
        <f>546.5*2</f>
        <v>1093</v>
      </c>
      <c r="I23" s="4">
        <f>339.5*2</f>
        <v>679</v>
      </c>
    </row>
    <row r="24" spans="1:60" s="73" customFormat="1" x14ac:dyDescent="0.25">
      <c r="A24" s="74">
        <v>9</v>
      </c>
      <c r="B24" s="75" t="s">
        <v>101</v>
      </c>
      <c r="C24" s="70" t="s">
        <v>16</v>
      </c>
      <c r="D24" s="71">
        <f>11416*2</f>
        <v>22832</v>
      </c>
      <c r="E24" s="76">
        <f t="shared" si="2"/>
        <v>3995.6</v>
      </c>
      <c r="F24" s="76">
        <f t="shared" si="0"/>
        <v>684.95999999999992</v>
      </c>
      <c r="G24" s="76">
        <f t="shared" si="1"/>
        <v>456.64</v>
      </c>
      <c r="H24" s="71">
        <f>623.5*2</f>
        <v>1247</v>
      </c>
      <c r="I24" s="71">
        <f>389.5*2</f>
        <v>779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s="28" customFormat="1" x14ac:dyDescent="0.25">
      <c r="A25" s="39">
        <v>10</v>
      </c>
      <c r="B25" s="7" t="s">
        <v>101</v>
      </c>
      <c r="C25" s="35" t="s">
        <v>29</v>
      </c>
      <c r="D25" s="4">
        <f>12864.5*2</f>
        <v>25729</v>
      </c>
      <c r="E25" s="6">
        <f t="shared" si="2"/>
        <v>4502.5749999999998</v>
      </c>
      <c r="F25" s="6">
        <f t="shared" si="0"/>
        <v>771.87</v>
      </c>
      <c r="G25" s="6">
        <f t="shared" si="1"/>
        <v>514.58000000000004</v>
      </c>
      <c r="H25" s="4">
        <f>643*2</f>
        <v>1286</v>
      </c>
      <c r="I25" s="4">
        <f>428.5*2</f>
        <v>857</v>
      </c>
    </row>
    <row r="26" spans="1:60" s="73" customFormat="1" x14ac:dyDescent="0.25">
      <c r="A26" s="74">
        <v>11</v>
      </c>
      <c r="B26" s="77" t="s">
        <v>101</v>
      </c>
      <c r="C26" s="70" t="s">
        <v>124</v>
      </c>
      <c r="D26" s="71">
        <f>7366.5*2</f>
        <v>14733</v>
      </c>
      <c r="E26" s="78">
        <f t="shared" si="2"/>
        <v>2578.2749999999996</v>
      </c>
      <c r="F26" s="78">
        <f t="shared" si="0"/>
        <v>441.99</v>
      </c>
      <c r="G26" s="78">
        <f t="shared" si="1"/>
        <v>294.66000000000003</v>
      </c>
      <c r="H26" s="71">
        <f>546.5*2</f>
        <v>1093</v>
      </c>
      <c r="I26" s="79">
        <f>339.5*2</f>
        <v>679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s="28" customFormat="1" x14ac:dyDescent="0.25">
      <c r="A27" s="39">
        <v>12</v>
      </c>
      <c r="B27" s="7" t="s">
        <v>101</v>
      </c>
      <c r="C27" s="35" t="s">
        <v>31</v>
      </c>
      <c r="D27" s="4">
        <f>6843.5*2</f>
        <v>13687</v>
      </c>
      <c r="E27" s="6">
        <f t="shared" si="2"/>
        <v>2395.2249999999999</v>
      </c>
      <c r="F27" s="6">
        <f t="shared" si="0"/>
        <v>410.60999999999996</v>
      </c>
      <c r="G27" s="6">
        <f t="shared" si="1"/>
        <v>273.74</v>
      </c>
      <c r="H27" s="4">
        <f>478.5*2</f>
        <v>957</v>
      </c>
      <c r="I27" s="4">
        <f>330.5*2</f>
        <v>661</v>
      </c>
    </row>
    <row r="28" spans="1:60" s="73" customFormat="1" x14ac:dyDescent="0.25">
      <c r="A28" s="74">
        <v>13</v>
      </c>
      <c r="B28" s="75" t="s">
        <v>101</v>
      </c>
      <c r="C28" s="70" t="s">
        <v>24</v>
      </c>
      <c r="D28" s="71">
        <f>7366.5*2</f>
        <v>14733</v>
      </c>
      <c r="E28" s="76">
        <f t="shared" si="2"/>
        <v>2578.2749999999996</v>
      </c>
      <c r="F28" s="76">
        <f t="shared" si="0"/>
        <v>441.99</v>
      </c>
      <c r="G28" s="76">
        <f t="shared" si="1"/>
        <v>294.66000000000003</v>
      </c>
      <c r="H28" s="71">
        <f>546.5*2</f>
        <v>1093</v>
      </c>
      <c r="I28" s="71">
        <f>339.5*2</f>
        <v>679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</row>
    <row r="29" spans="1:60" s="28" customFormat="1" x14ac:dyDescent="0.25">
      <c r="A29" s="39">
        <v>14</v>
      </c>
      <c r="B29" s="7" t="s">
        <v>101</v>
      </c>
      <c r="C29" s="35" t="s">
        <v>18</v>
      </c>
      <c r="D29" s="4">
        <f>7366.5*2</f>
        <v>14733</v>
      </c>
      <c r="E29" s="6">
        <f t="shared" si="2"/>
        <v>2578.2749999999996</v>
      </c>
      <c r="F29" s="6">
        <f t="shared" si="0"/>
        <v>441.99</v>
      </c>
      <c r="G29" s="6">
        <f t="shared" si="1"/>
        <v>294.66000000000003</v>
      </c>
      <c r="H29" s="4">
        <f>546.5*2</f>
        <v>1093</v>
      </c>
      <c r="I29" s="4">
        <f>339.5*2</f>
        <v>679</v>
      </c>
    </row>
    <row r="30" spans="1:60" s="73" customFormat="1" x14ac:dyDescent="0.25">
      <c r="A30" s="74">
        <v>15</v>
      </c>
      <c r="B30" s="75" t="s">
        <v>101</v>
      </c>
      <c r="C30" s="70" t="s">
        <v>21</v>
      </c>
      <c r="D30" s="71">
        <f>7366.5*2</f>
        <v>14733</v>
      </c>
      <c r="E30" s="76">
        <f t="shared" si="2"/>
        <v>2578.2749999999996</v>
      </c>
      <c r="F30" s="76">
        <f t="shared" si="0"/>
        <v>441.99</v>
      </c>
      <c r="G30" s="76">
        <f t="shared" si="1"/>
        <v>294.66000000000003</v>
      </c>
      <c r="H30" s="71">
        <f>546.5*2</f>
        <v>1093</v>
      </c>
      <c r="I30" s="71">
        <f>339.5*2</f>
        <v>679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 s="28" customFormat="1" x14ac:dyDescent="0.25">
      <c r="A31" s="39">
        <v>16</v>
      </c>
      <c r="B31" s="7" t="s">
        <v>101</v>
      </c>
      <c r="C31" s="35" t="s">
        <v>24</v>
      </c>
      <c r="D31" s="4">
        <f>7366.5*2</f>
        <v>14733</v>
      </c>
      <c r="E31" s="6">
        <f t="shared" si="2"/>
        <v>2578.2749999999996</v>
      </c>
      <c r="F31" s="6">
        <f t="shared" si="0"/>
        <v>441.99</v>
      </c>
      <c r="G31" s="6">
        <f t="shared" si="1"/>
        <v>294.66000000000003</v>
      </c>
      <c r="H31" s="4">
        <f>546.5*2</f>
        <v>1093</v>
      </c>
      <c r="I31" s="4">
        <f>339.5*2</f>
        <v>679</v>
      </c>
    </row>
    <row r="32" spans="1:60" s="73" customFormat="1" x14ac:dyDescent="0.25">
      <c r="A32" s="74">
        <v>17</v>
      </c>
      <c r="B32" s="75" t="s">
        <v>101</v>
      </c>
      <c r="C32" s="70" t="s">
        <v>21</v>
      </c>
      <c r="D32" s="71">
        <f>7366.5*2</f>
        <v>14733</v>
      </c>
      <c r="E32" s="76">
        <f t="shared" si="2"/>
        <v>2578.2749999999996</v>
      </c>
      <c r="F32" s="76">
        <f t="shared" si="0"/>
        <v>441.99</v>
      </c>
      <c r="G32" s="76">
        <f t="shared" si="1"/>
        <v>294.66000000000003</v>
      </c>
      <c r="H32" s="71">
        <f>546.5*2</f>
        <v>1093</v>
      </c>
      <c r="I32" s="71">
        <f>339.5*2</f>
        <v>679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 s="28" customFormat="1" x14ac:dyDescent="0.25">
      <c r="A33" s="39">
        <v>18</v>
      </c>
      <c r="B33" s="7" t="s">
        <v>101</v>
      </c>
      <c r="C33" s="35" t="s">
        <v>16</v>
      </c>
      <c r="D33" s="4">
        <f>11416*2</f>
        <v>22832</v>
      </c>
      <c r="E33" s="6">
        <f t="shared" si="2"/>
        <v>3995.6</v>
      </c>
      <c r="F33" s="6">
        <f t="shared" si="0"/>
        <v>684.95999999999992</v>
      </c>
      <c r="G33" s="6">
        <f t="shared" si="1"/>
        <v>456.64</v>
      </c>
      <c r="H33" s="4">
        <f>623.5*2</f>
        <v>1247</v>
      </c>
      <c r="I33" s="4">
        <f>389.5*2</f>
        <v>779</v>
      </c>
    </row>
    <row r="34" spans="1:60" s="73" customFormat="1" x14ac:dyDescent="0.25">
      <c r="A34" s="74">
        <v>19</v>
      </c>
      <c r="B34" s="75" t="s">
        <v>101</v>
      </c>
      <c r="C34" s="70" t="s">
        <v>29</v>
      </c>
      <c r="D34" s="71">
        <f>12864.5*2</f>
        <v>25729</v>
      </c>
      <c r="E34" s="76">
        <f t="shared" si="2"/>
        <v>4502.5749999999998</v>
      </c>
      <c r="F34" s="80">
        <f t="shared" si="0"/>
        <v>771.87</v>
      </c>
      <c r="G34" s="76">
        <f t="shared" si="1"/>
        <v>514.58000000000004</v>
      </c>
      <c r="H34" s="71">
        <f>643*2</f>
        <v>1286</v>
      </c>
      <c r="I34" s="71">
        <f>428.5*2</f>
        <v>857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</row>
    <row r="35" spans="1:60" s="28" customFormat="1" x14ac:dyDescent="0.25">
      <c r="A35" s="39">
        <v>20</v>
      </c>
      <c r="B35" s="7" t="s">
        <v>101</v>
      </c>
      <c r="C35" s="35" t="s">
        <v>29</v>
      </c>
      <c r="D35" s="4">
        <f>12864.5*2</f>
        <v>25729</v>
      </c>
      <c r="E35" s="6">
        <f t="shared" si="2"/>
        <v>4502.5749999999998</v>
      </c>
      <c r="F35" s="6">
        <f t="shared" si="0"/>
        <v>771.87</v>
      </c>
      <c r="G35" s="6">
        <f t="shared" si="1"/>
        <v>514.58000000000004</v>
      </c>
      <c r="H35" s="4">
        <f>643*2</f>
        <v>1286</v>
      </c>
      <c r="I35" s="4">
        <f>428.5*2</f>
        <v>857</v>
      </c>
    </row>
    <row r="36" spans="1:60" s="73" customFormat="1" x14ac:dyDescent="0.25">
      <c r="A36" s="74">
        <v>21</v>
      </c>
      <c r="B36" s="75" t="s">
        <v>101</v>
      </c>
      <c r="C36" s="70" t="s">
        <v>29</v>
      </c>
      <c r="D36" s="71">
        <f>12864.5</f>
        <v>12864.5</v>
      </c>
      <c r="E36" s="76">
        <f t="shared" si="2"/>
        <v>2251.2874999999999</v>
      </c>
      <c r="F36" s="76">
        <f t="shared" si="0"/>
        <v>385.935</v>
      </c>
      <c r="G36" s="76">
        <f t="shared" si="1"/>
        <v>257.29000000000002</v>
      </c>
      <c r="H36" s="71">
        <f>643</f>
        <v>643</v>
      </c>
      <c r="I36" s="71">
        <f>428.5</f>
        <v>428.5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</row>
    <row r="37" spans="1:60" s="28" customFormat="1" x14ac:dyDescent="0.25">
      <c r="A37" s="39">
        <v>22</v>
      </c>
      <c r="B37" s="7" t="s">
        <v>101</v>
      </c>
      <c r="C37" s="35" t="s">
        <v>21</v>
      </c>
      <c r="D37" s="4">
        <f>7366.5*2</f>
        <v>14733</v>
      </c>
      <c r="E37" s="6">
        <f t="shared" si="2"/>
        <v>2578.2749999999996</v>
      </c>
      <c r="F37" s="6">
        <f t="shared" si="0"/>
        <v>441.99</v>
      </c>
      <c r="G37" s="6">
        <f t="shared" si="1"/>
        <v>294.66000000000003</v>
      </c>
      <c r="H37" s="4">
        <f>546.5*2</f>
        <v>1093</v>
      </c>
      <c r="I37" s="4">
        <f>339.5*2</f>
        <v>679</v>
      </c>
    </row>
    <row r="38" spans="1:60" s="73" customFormat="1" x14ac:dyDescent="0.25">
      <c r="A38" s="74">
        <v>23</v>
      </c>
      <c r="B38" s="75" t="s">
        <v>101</v>
      </c>
      <c r="C38" s="70" t="s">
        <v>21</v>
      </c>
      <c r="D38" s="71">
        <f>7366.5*2</f>
        <v>14733</v>
      </c>
      <c r="E38" s="76">
        <f t="shared" si="2"/>
        <v>2578.2749999999996</v>
      </c>
      <c r="F38" s="76">
        <f t="shared" si="0"/>
        <v>441.99</v>
      </c>
      <c r="G38" s="76">
        <f t="shared" si="1"/>
        <v>294.66000000000003</v>
      </c>
      <c r="H38" s="71">
        <f>546.5*2</f>
        <v>1093</v>
      </c>
      <c r="I38" s="71">
        <f>339.5*2</f>
        <v>679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</row>
    <row r="39" spans="1:60" s="28" customFormat="1" x14ac:dyDescent="0.25">
      <c r="A39" s="39">
        <v>24</v>
      </c>
      <c r="B39" s="7" t="s">
        <v>101</v>
      </c>
      <c r="C39" s="35" t="s">
        <v>16</v>
      </c>
      <c r="D39" s="4">
        <f>11416*2</f>
        <v>22832</v>
      </c>
      <c r="E39" s="6">
        <f t="shared" si="2"/>
        <v>3995.6</v>
      </c>
      <c r="F39" s="6">
        <f t="shared" si="0"/>
        <v>684.95999999999992</v>
      </c>
      <c r="G39" s="6">
        <f t="shared" si="1"/>
        <v>456.64</v>
      </c>
      <c r="H39" s="4">
        <f>623.5*2</f>
        <v>1247</v>
      </c>
      <c r="I39" s="4">
        <f>389.5*2</f>
        <v>779</v>
      </c>
    </row>
    <row r="40" spans="1:60" s="73" customFormat="1" x14ac:dyDescent="0.25">
      <c r="A40" s="74">
        <v>25</v>
      </c>
      <c r="B40" s="75" t="s">
        <v>101</v>
      </c>
      <c r="C40" s="70" t="s">
        <v>121</v>
      </c>
      <c r="D40" s="71">
        <f>6503*2</f>
        <v>13006</v>
      </c>
      <c r="E40" s="76">
        <f t="shared" si="2"/>
        <v>2276.0499999999997</v>
      </c>
      <c r="F40" s="76">
        <f t="shared" si="0"/>
        <v>390.18</v>
      </c>
      <c r="G40" s="76">
        <f t="shared" si="1"/>
        <v>260.12</v>
      </c>
      <c r="H40" s="79">
        <f>470.5*2</f>
        <v>941</v>
      </c>
      <c r="I40" s="79">
        <f>322.5*2</f>
        <v>645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</row>
    <row r="41" spans="1:60" s="28" customFormat="1" x14ac:dyDescent="0.25">
      <c r="A41" s="39">
        <v>26</v>
      </c>
      <c r="B41" s="7" t="s">
        <v>101</v>
      </c>
      <c r="C41" s="35" t="s">
        <v>18</v>
      </c>
      <c r="D41" s="4">
        <f>7366.5*2</f>
        <v>14733</v>
      </c>
      <c r="E41" s="6">
        <f t="shared" si="2"/>
        <v>2578.2749999999996</v>
      </c>
      <c r="F41" s="6">
        <f t="shared" si="0"/>
        <v>441.99</v>
      </c>
      <c r="G41" s="6">
        <f t="shared" si="1"/>
        <v>294.66000000000003</v>
      </c>
      <c r="H41" s="4">
        <f>546.5*2</f>
        <v>1093</v>
      </c>
      <c r="I41" s="4">
        <f>339.5*2</f>
        <v>679</v>
      </c>
    </row>
    <row r="42" spans="1:60" s="73" customFormat="1" x14ac:dyDescent="0.25">
      <c r="A42" s="74">
        <v>27</v>
      </c>
      <c r="B42" s="75" t="s">
        <v>101</v>
      </c>
      <c r="C42" s="81" t="s">
        <v>16</v>
      </c>
      <c r="D42" s="82">
        <f>11416*2</f>
        <v>22832</v>
      </c>
      <c r="E42" s="76">
        <f t="shared" si="2"/>
        <v>3995.6</v>
      </c>
      <c r="F42" s="76">
        <f t="shared" si="0"/>
        <v>684.95999999999992</v>
      </c>
      <c r="G42" s="76">
        <f t="shared" si="1"/>
        <v>456.64</v>
      </c>
      <c r="H42" s="82">
        <f>623.5*2</f>
        <v>1247</v>
      </c>
      <c r="I42" s="82">
        <f>389.5*2</f>
        <v>779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</row>
    <row r="43" spans="1:60" s="28" customFormat="1" x14ac:dyDescent="0.25">
      <c r="A43" s="39">
        <v>28</v>
      </c>
      <c r="B43" s="7" t="s">
        <v>101</v>
      </c>
      <c r="C43" s="38" t="s">
        <v>16</v>
      </c>
      <c r="D43" s="32">
        <f>11416*2</f>
        <v>22832</v>
      </c>
      <c r="E43" s="6">
        <f t="shared" si="2"/>
        <v>3995.6</v>
      </c>
      <c r="F43" s="6">
        <f t="shared" si="0"/>
        <v>684.95999999999992</v>
      </c>
      <c r="G43" s="6">
        <f t="shared" si="1"/>
        <v>456.64</v>
      </c>
      <c r="H43" s="32">
        <f>623.5*2</f>
        <v>1247</v>
      </c>
      <c r="I43" s="32">
        <f>389.5*2</f>
        <v>779</v>
      </c>
    </row>
    <row r="44" spans="1:60" s="73" customFormat="1" x14ac:dyDescent="0.25">
      <c r="A44" s="74">
        <v>29</v>
      </c>
      <c r="B44" s="75" t="s">
        <v>101</v>
      </c>
      <c r="C44" s="70" t="s">
        <v>21</v>
      </c>
      <c r="D44" s="71">
        <f>7366.5*2</f>
        <v>14733</v>
      </c>
      <c r="E44" s="76">
        <f t="shared" si="2"/>
        <v>2578.2749999999996</v>
      </c>
      <c r="F44" s="76">
        <f t="shared" si="0"/>
        <v>441.99</v>
      </c>
      <c r="G44" s="76">
        <f t="shared" si="1"/>
        <v>294.66000000000003</v>
      </c>
      <c r="H44" s="71">
        <f>546.5*2</f>
        <v>1093</v>
      </c>
      <c r="I44" s="71">
        <f>339.5*2</f>
        <v>679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28" customFormat="1" x14ac:dyDescent="0.25">
      <c r="A45" s="39">
        <v>30</v>
      </c>
      <c r="B45" s="7" t="s">
        <v>101</v>
      </c>
      <c r="C45" s="35" t="s">
        <v>21</v>
      </c>
      <c r="D45" s="4">
        <f>7366.5*2</f>
        <v>14733</v>
      </c>
      <c r="E45" s="6">
        <f t="shared" si="2"/>
        <v>2578.2749999999996</v>
      </c>
      <c r="F45" s="6">
        <f t="shared" si="0"/>
        <v>441.99</v>
      </c>
      <c r="G45" s="6">
        <f t="shared" si="1"/>
        <v>294.66000000000003</v>
      </c>
      <c r="H45" s="4">
        <f>546.5*2</f>
        <v>1093</v>
      </c>
      <c r="I45" s="4">
        <f>339.5*2</f>
        <v>679</v>
      </c>
    </row>
    <row r="46" spans="1:60" s="73" customFormat="1" x14ac:dyDescent="0.25">
      <c r="A46" s="74">
        <v>31</v>
      </c>
      <c r="B46" s="75" t="s">
        <v>101</v>
      </c>
      <c r="C46" s="70" t="s">
        <v>21</v>
      </c>
      <c r="D46" s="71">
        <f>7366.5*2</f>
        <v>14733</v>
      </c>
      <c r="E46" s="76">
        <f t="shared" si="2"/>
        <v>2578.2749999999996</v>
      </c>
      <c r="F46" s="76">
        <f t="shared" si="0"/>
        <v>441.99</v>
      </c>
      <c r="G46" s="76">
        <f t="shared" si="1"/>
        <v>294.66000000000003</v>
      </c>
      <c r="H46" s="71">
        <f>546.5*2</f>
        <v>1093</v>
      </c>
      <c r="I46" s="71">
        <f>339.5*2</f>
        <v>679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</row>
    <row r="47" spans="1:60" s="28" customFormat="1" x14ac:dyDescent="0.25">
      <c r="A47" s="39">
        <v>32</v>
      </c>
      <c r="B47" s="7" t="s">
        <v>101</v>
      </c>
      <c r="C47" s="35" t="s">
        <v>21</v>
      </c>
      <c r="D47" s="4">
        <f>7366.5*2</f>
        <v>14733</v>
      </c>
      <c r="E47" s="6">
        <f t="shared" si="2"/>
        <v>2578.2749999999996</v>
      </c>
      <c r="F47" s="6">
        <f t="shared" si="0"/>
        <v>441.99</v>
      </c>
      <c r="G47" s="6">
        <f t="shared" si="1"/>
        <v>294.66000000000003</v>
      </c>
      <c r="H47" s="4">
        <f>546.5*2</f>
        <v>1093</v>
      </c>
      <c r="I47" s="4">
        <f>339.5*2</f>
        <v>679</v>
      </c>
    </row>
    <row r="48" spans="1:60" s="73" customFormat="1" ht="15.75" customHeight="1" x14ac:dyDescent="0.25">
      <c r="A48" s="74">
        <v>33</v>
      </c>
      <c r="B48" s="75" t="s">
        <v>101</v>
      </c>
      <c r="C48" s="70" t="s">
        <v>21</v>
      </c>
      <c r="D48" s="71">
        <f>7366.5*2</f>
        <v>14733</v>
      </c>
      <c r="E48" s="76">
        <f t="shared" si="2"/>
        <v>2578.2749999999996</v>
      </c>
      <c r="F48" s="76">
        <f t="shared" si="0"/>
        <v>441.99</v>
      </c>
      <c r="G48" s="76">
        <f t="shared" si="1"/>
        <v>294.66000000000003</v>
      </c>
      <c r="H48" s="71">
        <f>546.5*2</f>
        <v>1093</v>
      </c>
      <c r="I48" s="71">
        <f>339.5*2</f>
        <v>679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</row>
    <row r="49" spans="1:60" s="28" customFormat="1" x14ac:dyDescent="0.25">
      <c r="A49" s="39">
        <v>34</v>
      </c>
      <c r="B49" s="7" t="s">
        <v>101</v>
      </c>
      <c r="C49" s="35" t="s">
        <v>40</v>
      </c>
      <c r="D49" s="4">
        <f>21109.5*2</f>
        <v>42219</v>
      </c>
      <c r="E49" s="6">
        <f t="shared" si="2"/>
        <v>7388.3249999999998</v>
      </c>
      <c r="F49" s="6">
        <f t="shared" si="0"/>
        <v>1266.57</v>
      </c>
      <c r="G49" s="6">
        <f t="shared" si="1"/>
        <v>844.38</v>
      </c>
      <c r="H49" s="4">
        <f>932.5*2</f>
        <v>1865</v>
      </c>
      <c r="I49" s="4">
        <f>672.5*2</f>
        <v>1345</v>
      </c>
    </row>
    <row r="50" spans="1:60" s="73" customFormat="1" x14ac:dyDescent="0.25">
      <c r="A50" s="74">
        <v>35</v>
      </c>
      <c r="B50" s="75" t="s">
        <v>101</v>
      </c>
      <c r="C50" s="70" t="s">
        <v>40</v>
      </c>
      <c r="D50" s="71">
        <f>21109.5*2</f>
        <v>42219</v>
      </c>
      <c r="E50" s="76">
        <f t="shared" si="2"/>
        <v>7388.3249999999998</v>
      </c>
      <c r="F50" s="76">
        <f t="shared" si="0"/>
        <v>1266.57</v>
      </c>
      <c r="G50" s="76">
        <f t="shared" si="1"/>
        <v>844.38</v>
      </c>
      <c r="H50" s="71">
        <f>932.5*2</f>
        <v>1865</v>
      </c>
      <c r="I50" s="71">
        <f>672.5*2</f>
        <v>1345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</row>
    <row r="51" spans="1:60" s="28" customFormat="1" x14ac:dyDescent="0.25">
      <c r="A51" s="39">
        <v>36</v>
      </c>
      <c r="B51" s="7" t="s">
        <v>101</v>
      </c>
      <c r="C51" s="35" t="s">
        <v>21</v>
      </c>
      <c r="D51" s="4">
        <f>7366.5*2</f>
        <v>14733</v>
      </c>
      <c r="E51" s="6">
        <f t="shared" si="2"/>
        <v>2578.2749999999996</v>
      </c>
      <c r="F51" s="6">
        <f t="shared" si="0"/>
        <v>441.99</v>
      </c>
      <c r="G51" s="6">
        <f t="shared" si="1"/>
        <v>294.66000000000003</v>
      </c>
      <c r="H51" s="4">
        <f>546.5*2</f>
        <v>1093</v>
      </c>
      <c r="I51" s="4">
        <f>339.5*2</f>
        <v>679</v>
      </c>
    </row>
    <row r="52" spans="1:60" s="73" customFormat="1" x14ac:dyDescent="0.25">
      <c r="A52" s="74">
        <v>37</v>
      </c>
      <c r="B52" s="75" t="s">
        <v>101</v>
      </c>
      <c r="C52" s="70" t="s">
        <v>136</v>
      </c>
      <c r="D52" s="71">
        <f>27565.5*2</f>
        <v>55131</v>
      </c>
      <c r="E52" s="76">
        <f t="shared" si="2"/>
        <v>9647.9249999999993</v>
      </c>
      <c r="F52" s="76">
        <f t="shared" si="0"/>
        <v>1653.9299999999998</v>
      </c>
      <c r="G52" s="76">
        <f t="shared" si="1"/>
        <v>1102.6200000000001</v>
      </c>
      <c r="H52" s="71">
        <f>1028.5*2</f>
        <v>2057</v>
      </c>
      <c r="I52" s="71">
        <f>728.5*2</f>
        <v>1457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</row>
    <row r="53" spans="1:60" s="28" customFormat="1" x14ac:dyDescent="0.25">
      <c r="A53" s="39">
        <v>38</v>
      </c>
      <c r="B53" s="7" t="s">
        <v>101</v>
      </c>
      <c r="C53" s="35" t="s">
        <v>18</v>
      </c>
      <c r="D53" s="4">
        <f>7436.5*2</f>
        <v>14873</v>
      </c>
      <c r="E53" s="6">
        <f t="shared" si="2"/>
        <v>2602.7749999999996</v>
      </c>
      <c r="F53" s="6">
        <f t="shared" si="0"/>
        <v>446.19</v>
      </c>
      <c r="G53" s="6">
        <f t="shared" si="1"/>
        <v>297.45999999999998</v>
      </c>
      <c r="H53" s="4">
        <f>546.5*2</f>
        <v>1093</v>
      </c>
      <c r="I53" s="4">
        <f>339.5*2</f>
        <v>679</v>
      </c>
    </row>
    <row r="54" spans="1:60" s="73" customFormat="1" x14ac:dyDescent="0.25">
      <c r="A54" s="74">
        <v>39</v>
      </c>
      <c r="B54" s="75" t="s">
        <v>101</v>
      </c>
      <c r="C54" s="70" t="s">
        <v>21</v>
      </c>
      <c r="D54" s="71">
        <f>7366.5*2</f>
        <v>14733</v>
      </c>
      <c r="E54" s="76">
        <f t="shared" si="2"/>
        <v>2578.2749999999996</v>
      </c>
      <c r="F54" s="76">
        <f t="shared" si="0"/>
        <v>441.99</v>
      </c>
      <c r="G54" s="76">
        <f t="shared" si="1"/>
        <v>294.66000000000003</v>
      </c>
      <c r="H54" s="71">
        <f>546.5*2</f>
        <v>1093</v>
      </c>
      <c r="I54" s="71">
        <f>339.5*2</f>
        <v>679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 s="28" customFormat="1" x14ac:dyDescent="0.25">
      <c r="A55" s="39">
        <v>40</v>
      </c>
      <c r="B55" s="7" t="s">
        <v>101</v>
      </c>
      <c r="C55" s="35" t="s">
        <v>124</v>
      </c>
      <c r="D55" s="4">
        <f>7366.5*2</f>
        <v>14733</v>
      </c>
      <c r="E55" s="6">
        <f t="shared" si="2"/>
        <v>2578.2749999999996</v>
      </c>
      <c r="F55" s="6">
        <f t="shared" si="0"/>
        <v>441.99</v>
      </c>
      <c r="G55" s="6">
        <f t="shared" si="1"/>
        <v>294.66000000000003</v>
      </c>
      <c r="H55" s="4">
        <f>546.5*2</f>
        <v>1093</v>
      </c>
      <c r="I55" s="33">
        <f>339.5*2</f>
        <v>679</v>
      </c>
    </row>
    <row r="56" spans="1:60" s="73" customFormat="1" x14ac:dyDescent="0.25">
      <c r="A56" s="74">
        <v>41</v>
      </c>
      <c r="B56" s="75" t="s">
        <v>101</v>
      </c>
      <c r="C56" s="70" t="s">
        <v>18</v>
      </c>
      <c r="D56" s="71">
        <f>7366.5*2</f>
        <v>14733</v>
      </c>
      <c r="E56" s="76">
        <f t="shared" si="2"/>
        <v>2578.2749999999996</v>
      </c>
      <c r="F56" s="76">
        <f t="shared" si="0"/>
        <v>441.99</v>
      </c>
      <c r="G56" s="76">
        <f t="shared" si="1"/>
        <v>294.66000000000003</v>
      </c>
      <c r="H56" s="71">
        <f>546.5*2</f>
        <v>1093</v>
      </c>
      <c r="I56" s="71">
        <f>339.5*2</f>
        <v>679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</row>
    <row r="57" spans="1:60" s="28" customFormat="1" x14ac:dyDescent="0.25">
      <c r="A57" s="39">
        <v>42</v>
      </c>
      <c r="B57" s="7" t="s">
        <v>101</v>
      </c>
      <c r="C57" s="35" t="s">
        <v>29</v>
      </c>
      <c r="D57" s="4">
        <f>12864.5*2</f>
        <v>25729</v>
      </c>
      <c r="E57" s="6">
        <f t="shared" si="2"/>
        <v>4502.5749999999998</v>
      </c>
      <c r="F57" s="6">
        <f t="shared" si="0"/>
        <v>771.87</v>
      </c>
      <c r="G57" s="6">
        <f t="shared" si="1"/>
        <v>514.58000000000004</v>
      </c>
      <c r="H57" s="4">
        <f>643*2</f>
        <v>1286</v>
      </c>
      <c r="I57" s="4">
        <f>428.5*2</f>
        <v>857</v>
      </c>
    </row>
    <row r="58" spans="1:60" s="73" customFormat="1" x14ac:dyDescent="0.25">
      <c r="A58" s="74">
        <v>43</v>
      </c>
      <c r="B58" s="75" t="s">
        <v>101</v>
      </c>
      <c r="C58" s="70" t="s">
        <v>16</v>
      </c>
      <c r="D58" s="71">
        <f>11416*2</f>
        <v>22832</v>
      </c>
      <c r="E58" s="76">
        <f t="shared" si="2"/>
        <v>3995.6</v>
      </c>
      <c r="F58" s="76">
        <f t="shared" si="0"/>
        <v>684.95999999999992</v>
      </c>
      <c r="G58" s="76">
        <f t="shared" si="1"/>
        <v>456.64</v>
      </c>
      <c r="H58" s="71">
        <f>623.5*2</f>
        <v>1247</v>
      </c>
      <c r="I58" s="71">
        <f>389.5*2</f>
        <v>779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</row>
    <row r="59" spans="1:60" s="28" customFormat="1" x14ac:dyDescent="0.25">
      <c r="A59" s="39">
        <v>44</v>
      </c>
      <c r="B59" s="7" t="s">
        <v>101</v>
      </c>
      <c r="C59" s="35" t="s">
        <v>29</v>
      </c>
      <c r="D59" s="4">
        <f>12864.5*2</f>
        <v>25729</v>
      </c>
      <c r="E59" s="6">
        <f t="shared" si="2"/>
        <v>4502.5749999999998</v>
      </c>
      <c r="F59" s="6">
        <f t="shared" si="0"/>
        <v>771.87</v>
      </c>
      <c r="G59" s="6">
        <f t="shared" si="1"/>
        <v>514.58000000000004</v>
      </c>
      <c r="H59" s="4">
        <f>643*2</f>
        <v>1286</v>
      </c>
      <c r="I59" s="4">
        <f>428.5*2</f>
        <v>857</v>
      </c>
    </row>
    <row r="60" spans="1:60" s="73" customFormat="1" x14ac:dyDescent="0.25">
      <c r="A60" s="74">
        <v>45</v>
      </c>
      <c r="B60" s="75" t="s">
        <v>101</v>
      </c>
      <c r="C60" s="70" t="s">
        <v>16</v>
      </c>
      <c r="D60" s="71">
        <f>8562*2</f>
        <v>17124</v>
      </c>
      <c r="E60" s="76">
        <f t="shared" si="2"/>
        <v>2996.7</v>
      </c>
      <c r="F60" s="76">
        <f t="shared" si="0"/>
        <v>513.72</v>
      </c>
      <c r="G60" s="76">
        <f t="shared" si="1"/>
        <v>342.48</v>
      </c>
      <c r="H60" s="71">
        <f>549.5*2</f>
        <v>1099</v>
      </c>
      <c r="I60" s="71">
        <f>370.5*2</f>
        <v>741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</row>
    <row r="61" spans="1:60" s="28" customFormat="1" x14ac:dyDescent="0.25">
      <c r="A61" s="39">
        <v>46</v>
      </c>
      <c r="B61" s="7" t="s">
        <v>101</v>
      </c>
      <c r="C61" s="35" t="s">
        <v>125</v>
      </c>
      <c r="D61" s="4">
        <f>7436.5*2</f>
        <v>14873</v>
      </c>
      <c r="E61" s="6">
        <f t="shared" si="2"/>
        <v>2602.7749999999996</v>
      </c>
      <c r="F61" s="6">
        <f>D61*0.03</f>
        <v>446.19</v>
      </c>
      <c r="G61" s="6">
        <f t="shared" si="1"/>
        <v>297.45999999999998</v>
      </c>
      <c r="H61" s="4">
        <f>546.5*2</f>
        <v>1093</v>
      </c>
      <c r="I61" s="4">
        <f>339.5*2</f>
        <v>679</v>
      </c>
    </row>
    <row r="62" spans="1:60" s="73" customFormat="1" x14ac:dyDescent="0.25">
      <c r="A62" s="74">
        <v>47</v>
      </c>
      <c r="B62" s="75" t="s">
        <v>101</v>
      </c>
      <c r="C62" s="70" t="s">
        <v>16</v>
      </c>
      <c r="D62" s="71">
        <f>11416*2</f>
        <v>22832</v>
      </c>
      <c r="E62" s="76">
        <f t="shared" si="2"/>
        <v>3995.6</v>
      </c>
      <c r="F62" s="76">
        <f t="shared" si="0"/>
        <v>684.95999999999992</v>
      </c>
      <c r="G62" s="76">
        <f t="shared" si="1"/>
        <v>456.64</v>
      </c>
      <c r="H62" s="71">
        <f>623.5*2</f>
        <v>1247</v>
      </c>
      <c r="I62" s="71">
        <f>389.5*2</f>
        <v>779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</row>
    <row r="63" spans="1:60" s="28" customFormat="1" x14ac:dyDescent="0.25">
      <c r="A63" s="39">
        <v>48</v>
      </c>
      <c r="B63" s="7" t="s">
        <v>101</v>
      </c>
      <c r="C63" s="35" t="s">
        <v>40</v>
      </c>
      <c r="D63" s="4">
        <f>21109.5*2</f>
        <v>42219</v>
      </c>
      <c r="E63" s="6">
        <f t="shared" si="2"/>
        <v>7388.3249999999998</v>
      </c>
      <c r="F63" s="6">
        <f t="shared" si="0"/>
        <v>1266.57</v>
      </c>
      <c r="G63" s="6">
        <f t="shared" si="1"/>
        <v>844.38</v>
      </c>
      <c r="H63" s="4">
        <f>932.5*2</f>
        <v>1865</v>
      </c>
      <c r="I63" s="4">
        <f>672.5*2</f>
        <v>1345</v>
      </c>
    </row>
    <row r="64" spans="1:60" s="73" customFormat="1" x14ac:dyDescent="0.25">
      <c r="A64" s="74">
        <v>49</v>
      </c>
      <c r="B64" s="75" t="s">
        <v>101</v>
      </c>
      <c r="C64" s="70" t="s">
        <v>21</v>
      </c>
      <c r="D64" s="71">
        <f>7366.5*2</f>
        <v>14733</v>
      </c>
      <c r="E64" s="76">
        <f t="shared" si="2"/>
        <v>2578.2749999999996</v>
      </c>
      <c r="F64" s="76">
        <f t="shared" si="0"/>
        <v>441.99</v>
      </c>
      <c r="G64" s="76">
        <f t="shared" si="1"/>
        <v>294.66000000000003</v>
      </c>
      <c r="H64" s="71">
        <f>546.5*2</f>
        <v>1093</v>
      </c>
      <c r="I64" s="71">
        <f>339.5*2</f>
        <v>679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</row>
    <row r="65" spans="1:60" s="28" customFormat="1" x14ac:dyDescent="0.25">
      <c r="A65" s="39">
        <v>50</v>
      </c>
      <c r="B65" s="7" t="s">
        <v>101</v>
      </c>
      <c r="C65" s="35" t="s">
        <v>24</v>
      </c>
      <c r="D65" s="4">
        <f>7366.5*2</f>
        <v>14733</v>
      </c>
      <c r="E65" s="6">
        <f t="shared" si="2"/>
        <v>2578.2749999999996</v>
      </c>
      <c r="F65" s="6">
        <f t="shared" si="0"/>
        <v>441.99</v>
      </c>
      <c r="G65" s="6">
        <f t="shared" si="1"/>
        <v>294.66000000000003</v>
      </c>
      <c r="H65" s="4">
        <f>546.5*2</f>
        <v>1093</v>
      </c>
      <c r="I65" s="4">
        <f>339.5*2</f>
        <v>679</v>
      </c>
    </row>
    <row r="66" spans="1:60" s="73" customFormat="1" x14ac:dyDescent="0.25">
      <c r="A66" s="74">
        <v>51</v>
      </c>
      <c r="B66" s="75" t="s">
        <v>101</v>
      </c>
      <c r="C66" s="70" t="s">
        <v>124</v>
      </c>
      <c r="D66" s="71">
        <f>7366.5*2</f>
        <v>14733</v>
      </c>
      <c r="E66" s="76">
        <f t="shared" si="2"/>
        <v>2578.2749999999996</v>
      </c>
      <c r="F66" s="76">
        <f t="shared" si="0"/>
        <v>441.99</v>
      </c>
      <c r="G66" s="76">
        <f t="shared" si="1"/>
        <v>294.66000000000003</v>
      </c>
      <c r="H66" s="71">
        <f>546.5*2</f>
        <v>1093</v>
      </c>
      <c r="I66" s="71">
        <f>339.5*2</f>
        <v>679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</row>
    <row r="67" spans="1:60" s="28" customFormat="1" x14ac:dyDescent="0.25">
      <c r="A67" s="39">
        <v>52</v>
      </c>
      <c r="B67" s="7" t="s">
        <v>101</v>
      </c>
      <c r="C67" s="35" t="s">
        <v>126</v>
      </c>
      <c r="D67" s="4">
        <f>10136*2</f>
        <v>20272</v>
      </c>
      <c r="E67" s="6">
        <f t="shared" si="2"/>
        <v>3547.6</v>
      </c>
      <c r="F67" s="6">
        <f t="shared" si="0"/>
        <v>608.16</v>
      </c>
      <c r="G67" s="6">
        <f t="shared" si="1"/>
        <v>405.44</v>
      </c>
      <c r="H67" s="4">
        <f>603*2</f>
        <v>1206</v>
      </c>
      <c r="I67" s="4">
        <f>377.5*2</f>
        <v>755</v>
      </c>
    </row>
    <row r="68" spans="1:60" s="73" customFormat="1" x14ac:dyDescent="0.25">
      <c r="A68" s="74">
        <v>53</v>
      </c>
      <c r="B68" s="75" t="s">
        <v>101</v>
      </c>
      <c r="C68" s="70" t="s">
        <v>16</v>
      </c>
      <c r="D68" s="71">
        <f>11416*2</f>
        <v>22832</v>
      </c>
      <c r="E68" s="76">
        <f t="shared" si="2"/>
        <v>3995.6</v>
      </c>
      <c r="F68" s="76">
        <f t="shared" si="0"/>
        <v>684.95999999999992</v>
      </c>
      <c r="G68" s="76">
        <f t="shared" si="1"/>
        <v>456.64</v>
      </c>
      <c r="H68" s="71">
        <f>623.5*2</f>
        <v>1247</v>
      </c>
      <c r="I68" s="71">
        <f>389.5*2</f>
        <v>779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0" s="28" customFormat="1" x14ac:dyDescent="0.25">
      <c r="A69" s="39">
        <v>54</v>
      </c>
      <c r="B69" s="7" t="s">
        <v>101</v>
      </c>
      <c r="C69" s="35" t="s">
        <v>29</v>
      </c>
      <c r="D69" s="4">
        <f>12864.5*2</f>
        <v>25729</v>
      </c>
      <c r="E69" s="6">
        <f t="shared" si="2"/>
        <v>4502.5749999999998</v>
      </c>
      <c r="F69" s="6">
        <f t="shared" si="0"/>
        <v>771.87</v>
      </c>
      <c r="G69" s="6">
        <f t="shared" si="1"/>
        <v>514.58000000000004</v>
      </c>
      <c r="H69" s="4">
        <f>643*2</f>
        <v>1286</v>
      </c>
      <c r="I69" s="4">
        <f>428.5*2</f>
        <v>857</v>
      </c>
    </row>
    <row r="70" spans="1:60" s="73" customFormat="1" x14ac:dyDescent="0.25">
      <c r="A70" s="74">
        <v>55</v>
      </c>
      <c r="B70" s="75" t="s">
        <v>101</v>
      </c>
      <c r="C70" s="70" t="s">
        <v>29</v>
      </c>
      <c r="D70" s="71">
        <f>12864.5*2</f>
        <v>25729</v>
      </c>
      <c r="E70" s="76">
        <f t="shared" si="2"/>
        <v>4502.5749999999998</v>
      </c>
      <c r="F70" s="76">
        <f t="shared" si="0"/>
        <v>771.87</v>
      </c>
      <c r="G70" s="76">
        <f t="shared" si="1"/>
        <v>514.58000000000004</v>
      </c>
      <c r="H70" s="71">
        <f>643*2</f>
        <v>1286</v>
      </c>
      <c r="I70" s="71">
        <f>428.5*2</f>
        <v>857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</row>
    <row r="71" spans="1:60" s="28" customFormat="1" x14ac:dyDescent="0.25">
      <c r="A71" s="39">
        <v>56</v>
      </c>
      <c r="B71" s="7" t="s">
        <v>101</v>
      </c>
      <c r="C71" s="38" t="s">
        <v>57</v>
      </c>
      <c r="D71" s="32">
        <f>12864.5*2</f>
        <v>25729</v>
      </c>
      <c r="E71" s="6">
        <f t="shared" si="2"/>
        <v>4502.5749999999998</v>
      </c>
      <c r="F71" s="6">
        <f t="shared" si="0"/>
        <v>771.87</v>
      </c>
      <c r="G71" s="6">
        <f t="shared" si="1"/>
        <v>514.58000000000004</v>
      </c>
      <c r="H71" s="32">
        <f>643*2</f>
        <v>1286</v>
      </c>
      <c r="I71" s="32">
        <f>428.5*2</f>
        <v>857</v>
      </c>
    </row>
    <row r="72" spans="1:60" s="73" customFormat="1" x14ac:dyDescent="0.25">
      <c r="A72" s="74">
        <v>57</v>
      </c>
      <c r="B72" s="75" t="s">
        <v>101</v>
      </c>
      <c r="C72" s="70" t="s">
        <v>24</v>
      </c>
      <c r="D72" s="71">
        <f>7366.5*2</f>
        <v>14733</v>
      </c>
      <c r="E72" s="76">
        <f t="shared" si="2"/>
        <v>2578.2749999999996</v>
      </c>
      <c r="F72" s="76">
        <f t="shared" si="0"/>
        <v>441.99</v>
      </c>
      <c r="G72" s="76">
        <f t="shared" si="1"/>
        <v>294.66000000000003</v>
      </c>
      <c r="H72" s="71">
        <f>546.5*2</f>
        <v>1093</v>
      </c>
      <c r="I72" s="71">
        <f>339.5*2</f>
        <v>679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0" s="28" customFormat="1" x14ac:dyDescent="0.25">
      <c r="A73" s="39">
        <v>58</v>
      </c>
      <c r="B73" s="7" t="s">
        <v>101</v>
      </c>
      <c r="C73" s="35" t="s">
        <v>18</v>
      </c>
      <c r="D73" s="4">
        <f>7366.5*2</f>
        <v>14733</v>
      </c>
      <c r="E73" s="6">
        <f t="shared" si="2"/>
        <v>2578.2749999999996</v>
      </c>
      <c r="F73" s="6">
        <f t="shared" si="0"/>
        <v>441.99</v>
      </c>
      <c r="G73" s="6">
        <f t="shared" si="1"/>
        <v>294.66000000000003</v>
      </c>
      <c r="H73" s="4">
        <f>546.5*2</f>
        <v>1093</v>
      </c>
      <c r="I73" s="4">
        <f>339.5*2</f>
        <v>679</v>
      </c>
    </row>
    <row r="74" spans="1:60" s="73" customFormat="1" x14ac:dyDescent="0.25">
      <c r="A74" s="74">
        <v>59</v>
      </c>
      <c r="B74" s="75" t="s">
        <v>101</v>
      </c>
      <c r="C74" s="70" t="s">
        <v>75</v>
      </c>
      <c r="D74" s="71">
        <f>7436.5*2</f>
        <v>14873</v>
      </c>
      <c r="E74" s="76">
        <f t="shared" si="2"/>
        <v>2602.7749999999996</v>
      </c>
      <c r="F74" s="76">
        <f t="shared" si="0"/>
        <v>446.19</v>
      </c>
      <c r="G74" s="76">
        <f t="shared" si="1"/>
        <v>297.45999999999998</v>
      </c>
      <c r="H74" s="71">
        <f>546.5*2</f>
        <v>1093</v>
      </c>
      <c r="I74" s="71">
        <f>339.5*2</f>
        <v>679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60" s="28" customFormat="1" x14ac:dyDescent="0.25">
      <c r="A75" s="39">
        <v>60</v>
      </c>
      <c r="B75" s="7" t="s">
        <v>101</v>
      </c>
      <c r="C75" s="35" t="s">
        <v>24</v>
      </c>
      <c r="D75" s="4">
        <f>7366.5*2</f>
        <v>14733</v>
      </c>
      <c r="E75" s="6">
        <f t="shared" si="2"/>
        <v>2578.2749999999996</v>
      </c>
      <c r="F75" s="6">
        <f t="shared" si="0"/>
        <v>441.99</v>
      </c>
      <c r="G75" s="6">
        <f t="shared" si="1"/>
        <v>294.66000000000003</v>
      </c>
      <c r="H75" s="4">
        <f>546.5*2</f>
        <v>1093</v>
      </c>
      <c r="I75" s="4">
        <f>339.5*2</f>
        <v>679</v>
      </c>
    </row>
    <row r="76" spans="1:60" s="73" customFormat="1" x14ac:dyDescent="0.25">
      <c r="A76" s="74">
        <v>61</v>
      </c>
      <c r="B76" s="75" t="s">
        <v>101</v>
      </c>
      <c r="C76" s="70" t="s">
        <v>16</v>
      </c>
      <c r="D76" s="71">
        <f>11416*2</f>
        <v>22832</v>
      </c>
      <c r="E76" s="76">
        <f t="shared" si="2"/>
        <v>3995.6</v>
      </c>
      <c r="F76" s="76">
        <f t="shared" si="0"/>
        <v>684.95999999999992</v>
      </c>
      <c r="G76" s="76">
        <f t="shared" si="1"/>
        <v>456.64</v>
      </c>
      <c r="H76" s="71">
        <f>623.5*2</f>
        <v>1247</v>
      </c>
      <c r="I76" s="71">
        <f>389.5*2</f>
        <v>779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60" s="28" customFormat="1" x14ac:dyDescent="0.25">
      <c r="A77" s="39">
        <v>62</v>
      </c>
      <c r="B77" s="7" t="s">
        <v>101</v>
      </c>
      <c r="C77" s="35" t="s">
        <v>21</v>
      </c>
      <c r="D77" s="4">
        <f>7366.5*2</f>
        <v>14733</v>
      </c>
      <c r="E77" s="6">
        <f t="shared" si="2"/>
        <v>2578.2749999999996</v>
      </c>
      <c r="F77" s="6">
        <f t="shared" si="0"/>
        <v>441.99</v>
      </c>
      <c r="G77" s="6">
        <f t="shared" si="1"/>
        <v>294.66000000000003</v>
      </c>
      <c r="H77" s="4">
        <f>546.5*2</f>
        <v>1093</v>
      </c>
      <c r="I77" s="4">
        <f>339.5*2</f>
        <v>679</v>
      </c>
    </row>
    <row r="78" spans="1:60" s="73" customFormat="1" x14ac:dyDescent="0.25">
      <c r="A78" s="74">
        <v>63</v>
      </c>
      <c r="B78" s="75" t="s">
        <v>101</v>
      </c>
      <c r="C78" s="70" t="s">
        <v>124</v>
      </c>
      <c r="D78" s="71">
        <f>7366.5*2</f>
        <v>14733</v>
      </c>
      <c r="E78" s="76">
        <f t="shared" si="2"/>
        <v>2578.2749999999996</v>
      </c>
      <c r="F78" s="76">
        <f t="shared" si="0"/>
        <v>441.99</v>
      </c>
      <c r="G78" s="76">
        <f t="shared" si="1"/>
        <v>294.66000000000003</v>
      </c>
      <c r="H78" s="71">
        <f>546.5*2</f>
        <v>1093</v>
      </c>
      <c r="I78" s="71">
        <f>339.5*2</f>
        <v>679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60" s="28" customFormat="1" x14ac:dyDescent="0.25">
      <c r="A79" s="39">
        <v>64</v>
      </c>
      <c r="B79" s="7" t="s">
        <v>101</v>
      </c>
      <c r="C79" s="35" t="s">
        <v>16</v>
      </c>
      <c r="D79" s="4">
        <f>11416*2</f>
        <v>22832</v>
      </c>
      <c r="E79" s="6">
        <f t="shared" si="2"/>
        <v>3995.6</v>
      </c>
      <c r="F79" s="6">
        <f t="shared" si="0"/>
        <v>684.95999999999992</v>
      </c>
      <c r="G79" s="6">
        <f t="shared" si="1"/>
        <v>456.64</v>
      </c>
      <c r="H79" s="4">
        <f>623.5*2</f>
        <v>1247</v>
      </c>
      <c r="I79" s="4">
        <f>389.5*2</f>
        <v>779</v>
      </c>
    </row>
    <row r="80" spans="1:60" s="73" customFormat="1" x14ac:dyDescent="0.25">
      <c r="A80" s="74">
        <v>65</v>
      </c>
      <c r="B80" s="75" t="s">
        <v>101</v>
      </c>
      <c r="C80" s="70" t="s">
        <v>29</v>
      </c>
      <c r="D80" s="71">
        <f>12864.5*2</f>
        <v>25729</v>
      </c>
      <c r="E80" s="76">
        <f t="shared" si="2"/>
        <v>4502.5749999999998</v>
      </c>
      <c r="F80" s="76">
        <f t="shared" ref="F80:F101" si="3">D80*0.03</f>
        <v>771.87</v>
      </c>
      <c r="G80" s="76">
        <f t="shared" ref="G80:G101" si="4">D80*0.02</f>
        <v>514.58000000000004</v>
      </c>
      <c r="H80" s="71">
        <f>643*2</f>
        <v>1286</v>
      </c>
      <c r="I80" s="71">
        <f>428.5*2</f>
        <v>857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1:60" s="28" customFormat="1" x14ac:dyDescent="0.25">
      <c r="A81" s="39">
        <v>66</v>
      </c>
      <c r="B81" s="7" t="s">
        <v>101</v>
      </c>
      <c r="C81" s="35" t="s">
        <v>16</v>
      </c>
      <c r="D81" s="4">
        <f>11416*2</f>
        <v>22832</v>
      </c>
      <c r="E81" s="6">
        <f t="shared" ref="E81:E101" si="5">D81*0.175</f>
        <v>3995.6</v>
      </c>
      <c r="F81" s="6">
        <f t="shared" si="3"/>
        <v>684.95999999999992</v>
      </c>
      <c r="G81" s="6">
        <f t="shared" si="4"/>
        <v>456.64</v>
      </c>
      <c r="H81" s="4">
        <f>623.5*2</f>
        <v>1247</v>
      </c>
      <c r="I81" s="4">
        <f>389.5*2</f>
        <v>779</v>
      </c>
    </row>
    <row r="82" spans="1:60" s="73" customFormat="1" x14ac:dyDescent="0.25">
      <c r="A82" s="74">
        <v>67</v>
      </c>
      <c r="B82" s="75" t="s">
        <v>101</v>
      </c>
      <c r="C82" s="70" t="s">
        <v>24</v>
      </c>
      <c r="D82" s="71">
        <f>7366.5*2</f>
        <v>14733</v>
      </c>
      <c r="E82" s="76">
        <f t="shared" si="5"/>
        <v>2578.2749999999996</v>
      </c>
      <c r="F82" s="76">
        <f t="shared" si="3"/>
        <v>441.99</v>
      </c>
      <c r="G82" s="76">
        <f t="shared" si="4"/>
        <v>294.66000000000003</v>
      </c>
      <c r="H82" s="71">
        <f>546.5*2</f>
        <v>1093</v>
      </c>
      <c r="I82" s="71">
        <f>339.5*2</f>
        <v>679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</row>
    <row r="83" spans="1:60" s="28" customFormat="1" x14ac:dyDescent="0.25">
      <c r="A83" s="39">
        <v>68</v>
      </c>
      <c r="B83" s="7" t="s">
        <v>101</v>
      </c>
      <c r="C83" s="35" t="s">
        <v>21</v>
      </c>
      <c r="D83" s="4">
        <f>7366.5*2</f>
        <v>14733</v>
      </c>
      <c r="E83" s="6">
        <f t="shared" si="5"/>
        <v>2578.2749999999996</v>
      </c>
      <c r="F83" s="6">
        <f t="shared" si="3"/>
        <v>441.99</v>
      </c>
      <c r="G83" s="6">
        <f t="shared" si="4"/>
        <v>294.66000000000003</v>
      </c>
      <c r="H83" s="4">
        <f>546.5*2</f>
        <v>1093</v>
      </c>
      <c r="I83" s="4">
        <f>339.5*2</f>
        <v>679</v>
      </c>
    </row>
    <row r="84" spans="1:60" s="73" customFormat="1" x14ac:dyDescent="0.25">
      <c r="A84" s="74">
        <v>69</v>
      </c>
      <c r="B84" s="75" t="s">
        <v>101</v>
      </c>
      <c r="C84" s="70" t="s">
        <v>138</v>
      </c>
      <c r="D84" s="71">
        <f>34722.5*2</f>
        <v>69445</v>
      </c>
      <c r="E84" s="76">
        <f t="shared" si="5"/>
        <v>12152.875</v>
      </c>
      <c r="F84" s="76">
        <f t="shared" si="3"/>
        <v>2083.35</v>
      </c>
      <c r="G84" s="76">
        <f t="shared" si="4"/>
        <v>1388.9</v>
      </c>
      <c r="H84" s="71">
        <f>1272*2</f>
        <v>2544</v>
      </c>
      <c r="I84" s="71">
        <f>897*2</f>
        <v>1794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</row>
    <row r="85" spans="1:60" s="28" customFormat="1" x14ac:dyDescent="0.25">
      <c r="A85" s="39">
        <v>70</v>
      </c>
      <c r="B85" s="7" t="s">
        <v>101</v>
      </c>
      <c r="C85" s="35" t="s">
        <v>18</v>
      </c>
      <c r="D85" s="4">
        <f>7366.5*2</f>
        <v>14733</v>
      </c>
      <c r="E85" s="6">
        <f t="shared" si="5"/>
        <v>2578.2749999999996</v>
      </c>
      <c r="F85" s="6">
        <f t="shared" si="3"/>
        <v>441.99</v>
      </c>
      <c r="G85" s="6">
        <f t="shared" si="4"/>
        <v>294.66000000000003</v>
      </c>
      <c r="H85" s="4">
        <f>546.5*2</f>
        <v>1093</v>
      </c>
      <c r="I85" s="4">
        <f>339.5*2</f>
        <v>679</v>
      </c>
    </row>
    <row r="86" spans="1:60" s="73" customFormat="1" x14ac:dyDescent="0.25">
      <c r="A86" s="74">
        <v>71</v>
      </c>
      <c r="B86" s="75" t="s">
        <v>101</v>
      </c>
      <c r="C86" s="70" t="s">
        <v>16</v>
      </c>
      <c r="D86" s="71">
        <f>11416*2</f>
        <v>22832</v>
      </c>
      <c r="E86" s="76">
        <f t="shared" si="5"/>
        <v>3995.6</v>
      </c>
      <c r="F86" s="76">
        <f t="shared" si="3"/>
        <v>684.95999999999992</v>
      </c>
      <c r="G86" s="76">
        <f t="shared" si="4"/>
        <v>456.64</v>
      </c>
      <c r="H86" s="71">
        <f>623.5*2</f>
        <v>1247</v>
      </c>
      <c r="I86" s="71">
        <f>389.5*2</f>
        <v>779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0" s="28" customFormat="1" x14ac:dyDescent="0.25">
      <c r="A87" s="39">
        <v>72</v>
      </c>
      <c r="B87" s="7" t="s">
        <v>101</v>
      </c>
      <c r="C87" s="35" t="s">
        <v>122</v>
      </c>
      <c r="D87" s="4">
        <f>11416*2</f>
        <v>22832</v>
      </c>
      <c r="E87" s="6">
        <f t="shared" si="5"/>
        <v>3995.6</v>
      </c>
      <c r="F87" s="6">
        <f t="shared" si="3"/>
        <v>684.95999999999992</v>
      </c>
      <c r="G87" s="6">
        <f t="shared" si="4"/>
        <v>456.64</v>
      </c>
      <c r="H87" s="4">
        <f>623.5*2</f>
        <v>1247</v>
      </c>
      <c r="I87" s="33">
        <f>389.5*2</f>
        <v>779</v>
      </c>
    </row>
    <row r="88" spans="1:60" s="73" customFormat="1" x14ac:dyDescent="0.25">
      <c r="A88" s="74">
        <v>73</v>
      </c>
      <c r="B88" s="75" t="s">
        <v>101</v>
      </c>
      <c r="C88" s="70" t="s">
        <v>29</v>
      </c>
      <c r="D88" s="71">
        <f>12864.5*2</f>
        <v>25729</v>
      </c>
      <c r="E88" s="76">
        <f t="shared" si="5"/>
        <v>4502.5749999999998</v>
      </c>
      <c r="F88" s="76">
        <f t="shared" si="3"/>
        <v>771.87</v>
      </c>
      <c r="G88" s="76">
        <f t="shared" si="4"/>
        <v>514.58000000000004</v>
      </c>
      <c r="H88" s="71">
        <f>643*2</f>
        <v>1286</v>
      </c>
      <c r="I88" s="71">
        <f>428.5*2</f>
        <v>857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</row>
    <row r="89" spans="1:60" s="28" customFormat="1" x14ac:dyDescent="0.25">
      <c r="A89" s="39">
        <v>74</v>
      </c>
      <c r="B89" s="7" t="s">
        <v>101</v>
      </c>
      <c r="C89" s="35" t="s">
        <v>21</v>
      </c>
      <c r="D89" s="4">
        <f>7366.5*2</f>
        <v>14733</v>
      </c>
      <c r="E89" s="6">
        <f t="shared" si="5"/>
        <v>2578.2749999999996</v>
      </c>
      <c r="F89" s="6">
        <f t="shared" si="3"/>
        <v>441.99</v>
      </c>
      <c r="G89" s="6">
        <f t="shared" si="4"/>
        <v>294.66000000000003</v>
      </c>
      <c r="H89" s="4">
        <f>546.5*2</f>
        <v>1093</v>
      </c>
      <c r="I89" s="4">
        <f>339.5*2</f>
        <v>679</v>
      </c>
    </row>
    <row r="90" spans="1:60" s="73" customFormat="1" x14ac:dyDescent="0.25">
      <c r="A90" s="74">
        <v>75</v>
      </c>
      <c r="B90" s="75" t="s">
        <v>140</v>
      </c>
      <c r="C90" s="70" t="s">
        <v>125</v>
      </c>
      <c r="D90" s="71">
        <f>7366.5*2</f>
        <v>14733</v>
      </c>
      <c r="E90" s="76">
        <f t="shared" si="5"/>
        <v>2578.2749999999996</v>
      </c>
      <c r="F90" s="76">
        <f t="shared" si="3"/>
        <v>441.99</v>
      </c>
      <c r="G90" s="76">
        <f t="shared" si="4"/>
        <v>294.66000000000003</v>
      </c>
      <c r="H90" s="71">
        <f>546.5*2</f>
        <v>1093</v>
      </c>
      <c r="I90" s="79">
        <f>339.5*2</f>
        <v>679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</row>
    <row r="91" spans="1:60" s="28" customFormat="1" x14ac:dyDescent="0.25">
      <c r="A91" s="39">
        <v>76</v>
      </c>
      <c r="B91" s="7" t="s">
        <v>140</v>
      </c>
      <c r="C91" s="35" t="s">
        <v>119</v>
      </c>
      <c r="D91" s="4">
        <f>7366.5*2</f>
        <v>14733</v>
      </c>
      <c r="E91" s="6">
        <f t="shared" si="5"/>
        <v>2578.2749999999996</v>
      </c>
      <c r="F91" s="6">
        <f t="shared" si="3"/>
        <v>441.99</v>
      </c>
      <c r="G91" s="6">
        <f t="shared" si="4"/>
        <v>294.66000000000003</v>
      </c>
      <c r="H91" s="4">
        <f>546.5*2</f>
        <v>1093</v>
      </c>
      <c r="I91" s="4">
        <f>339.5*2</f>
        <v>679</v>
      </c>
    </row>
    <row r="92" spans="1:60" s="73" customFormat="1" ht="16.5" customHeight="1" x14ac:dyDescent="0.25">
      <c r="A92" s="74">
        <v>77</v>
      </c>
      <c r="B92" s="75" t="s">
        <v>140</v>
      </c>
      <c r="C92" s="70" t="s">
        <v>18</v>
      </c>
      <c r="D92" s="71">
        <f>7366.5*2</f>
        <v>14733</v>
      </c>
      <c r="E92" s="76">
        <f t="shared" si="5"/>
        <v>2578.2749999999996</v>
      </c>
      <c r="F92" s="76">
        <f t="shared" si="3"/>
        <v>441.99</v>
      </c>
      <c r="G92" s="76">
        <f t="shared" si="4"/>
        <v>294.66000000000003</v>
      </c>
      <c r="H92" s="71">
        <f>546.5*2</f>
        <v>1093</v>
      </c>
      <c r="I92" s="71">
        <f>339.5*2</f>
        <v>679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</row>
    <row r="93" spans="1:60" s="28" customFormat="1" x14ac:dyDescent="0.25">
      <c r="A93" s="39">
        <v>78</v>
      </c>
      <c r="B93" s="7" t="s">
        <v>140</v>
      </c>
      <c r="C93" s="35" t="s">
        <v>29</v>
      </c>
      <c r="D93" s="4">
        <f>12864.5*2</f>
        <v>25729</v>
      </c>
      <c r="E93" s="6">
        <f t="shared" si="5"/>
        <v>4502.5749999999998</v>
      </c>
      <c r="F93" s="6">
        <f t="shared" si="3"/>
        <v>771.87</v>
      </c>
      <c r="G93" s="6">
        <f t="shared" si="4"/>
        <v>514.58000000000004</v>
      </c>
      <c r="H93" s="4">
        <f>643*2</f>
        <v>1286</v>
      </c>
      <c r="I93" s="4">
        <f>428.5*2</f>
        <v>857</v>
      </c>
    </row>
    <row r="94" spans="1:60" s="73" customFormat="1" x14ac:dyDescent="0.25">
      <c r="A94" s="74">
        <v>79</v>
      </c>
      <c r="B94" s="75" t="s">
        <v>140</v>
      </c>
      <c r="C94" s="70" t="s">
        <v>16</v>
      </c>
      <c r="D94" s="71">
        <f>11416*2</f>
        <v>22832</v>
      </c>
      <c r="E94" s="76">
        <f t="shared" si="5"/>
        <v>3995.6</v>
      </c>
      <c r="F94" s="76">
        <f t="shared" si="3"/>
        <v>684.95999999999992</v>
      </c>
      <c r="G94" s="76">
        <f t="shared" si="4"/>
        <v>456.64</v>
      </c>
      <c r="H94" s="71">
        <f>623.5*2</f>
        <v>1247</v>
      </c>
      <c r="I94" s="71">
        <f>389.5*2</f>
        <v>779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</row>
    <row r="95" spans="1:60" s="28" customFormat="1" x14ac:dyDescent="0.25">
      <c r="A95" s="39">
        <v>80</v>
      </c>
      <c r="B95" s="7" t="s">
        <v>101</v>
      </c>
      <c r="C95" s="35" t="s">
        <v>29</v>
      </c>
      <c r="D95" s="4">
        <f>12864.5*2</f>
        <v>25729</v>
      </c>
      <c r="E95" s="6">
        <f t="shared" si="5"/>
        <v>4502.5749999999998</v>
      </c>
      <c r="F95" s="6">
        <f t="shared" si="3"/>
        <v>771.87</v>
      </c>
      <c r="G95" s="6">
        <f t="shared" si="4"/>
        <v>514.58000000000004</v>
      </c>
      <c r="H95" s="4">
        <f>643*2</f>
        <v>1286</v>
      </c>
      <c r="I95" s="4">
        <f>428.5*2</f>
        <v>857</v>
      </c>
    </row>
    <row r="96" spans="1:60" s="73" customFormat="1" x14ac:dyDescent="0.25">
      <c r="A96" s="74">
        <v>81</v>
      </c>
      <c r="B96" s="75" t="s">
        <v>101</v>
      </c>
      <c r="C96" s="70" t="s">
        <v>65</v>
      </c>
      <c r="D96" s="71">
        <f>6503*2</f>
        <v>13006</v>
      </c>
      <c r="E96" s="76">
        <f t="shared" si="5"/>
        <v>2276.0499999999997</v>
      </c>
      <c r="F96" s="76">
        <f t="shared" si="3"/>
        <v>390.18</v>
      </c>
      <c r="G96" s="76">
        <f t="shared" si="4"/>
        <v>260.12</v>
      </c>
      <c r="H96" s="71">
        <f>470.5*2</f>
        <v>941</v>
      </c>
      <c r="I96" s="71">
        <f>322.5*2</f>
        <v>645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</row>
    <row r="97" spans="1:60" s="28" customFormat="1" x14ac:dyDescent="0.25">
      <c r="A97" s="39">
        <v>82</v>
      </c>
      <c r="B97" s="7" t="s">
        <v>101</v>
      </c>
      <c r="C97" s="35" t="s">
        <v>40</v>
      </c>
      <c r="D97" s="4">
        <f>21109.5*2</f>
        <v>42219</v>
      </c>
      <c r="E97" s="6">
        <f t="shared" si="5"/>
        <v>7388.3249999999998</v>
      </c>
      <c r="F97" s="6">
        <f t="shared" si="3"/>
        <v>1266.57</v>
      </c>
      <c r="G97" s="6">
        <f t="shared" si="4"/>
        <v>844.38</v>
      </c>
      <c r="H97" s="4">
        <f>932.5*2</f>
        <v>1865</v>
      </c>
      <c r="I97" s="4">
        <f>672.5*2</f>
        <v>1345</v>
      </c>
    </row>
    <row r="98" spans="1:60" s="73" customFormat="1" x14ac:dyDescent="0.25">
      <c r="A98" s="74">
        <v>83</v>
      </c>
      <c r="B98" s="75" t="s">
        <v>101</v>
      </c>
      <c r="C98" s="70" t="s">
        <v>16</v>
      </c>
      <c r="D98" s="71">
        <f>11416*2</f>
        <v>22832</v>
      </c>
      <c r="E98" s="76">
        <f t="shared" si="5"/>
        <v>3995.6</v>
      </c>
      <c r="F98" s="76">
        <f t="shared" si="3"/>
        <v>684.95999999999992</v>
      </c>
      <c r="G98" s="76">
        <f t="shared" si="4"/>
        <v>456.64</v>
      </c>
      <c r="H98" s="71">
        <f>623.5*2</f>
        <v>1247</v>
      </c>
      <c r="I98" s="71">
        <f>389.5*2</f>
        <v>779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</row>
    <row r="99" spans="1:60" s="28" customFormat="1" x14ac:dyDescent="0.25">
      <c r="A99" s="39">
        <v>84</v>
      </c>
      <c r="B99" s="7" t="s">
        <v>101</v>
      </c>
      <c r="C99" s="35" t="s">
        <v>29</v>
      </c>
      <c r="D99" s="4">
        <f>12864.5*2</f>
        <v>25729</v>
      </c>
      <c r="E99" s="6">
        <f t="shared" si="5"/>
        <v>4502.5749999999998</v>
      </c>
      <c r="F99" s="6">
        <f t="shared" si="3"/>
        <v>771.87</v>
      </c>
      <c r="G99" s="6">
        <f t="shared" si="4"/>
        <v>514.58000000000004</v>
      </c>
      <c r="H99" s="4">
        <f>643*2</f>
        <v>1286</v>
      </c>
      <c r="I99" s="4">
        <f>428.5*2</f>
        <v>857</v>
      </c>
    </row>
    <row r="100" spans="1:60" s="73" customFormat="1" x14ac:dyDescent="0.25">
      <c r="A100" s="74">
        <v>85</v>
      </c>
      <c r="B100" s="75" t="s">
        <v>101</v>
      </c>
      <c r="C100" s="70" t="s">
        <v>24</v>
      </c>
      <c r="D100" s="71">
        <f>7366.5*2</f>
        <v>14733</v>
      </c>
      <c r="E100" s="76">
        <f t="shared" si="5"/>
        <v>2578.2749999999996</v>
      </c>
      <c r="F100" s="76">
        <f t="shared" si="3"/>
        <v>441.99</v>
      </c>
      <c r="G100" s="76">
        <f t="shared" si="4"/>
        <v>294.66000000000003</v>
      </c>
      <c r="H100" s="71">
        <f>546.5*2</f>
        <v>1093</v>
      </c>
      <c r="I100" s="71">
        <f>339.5*2</f>
        <v>679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</row>
    <row r="101" spans="1:60" s="28" customFormat="1" ht="15.75" thickBot="1" x14ac:dyDescent="0.3">
      <c r="A101" s="40">
        <v>86</v>
      </c>
      <c r="B101" s="36" t="s">
        <v>101</v>
      </c>
      <c r="C101" s="41" t="s">
        <v>40</v>
      </c>
      <c r="D101" s="34">
        <f>21140*2</f>
        <v>42280</v>
      </c>
      <c r="E101" s="22">
        <f t="shared" si="5"/>
        <v>7398.9999999999991</v>
      </c>
      <c r="F101" s="22">
        <f t="shared" si="3"/>
        <v>1268.3999999999999</v>
      </c>
      <c r="G101" s="22">
        <f t="shared" si="4"/>
        <v>845.6</v>
      </c>
      <c r="H101" s="34">
        <f>932.5*2</f>
        <v>1865</v>
      </c>
      <c r="I101" s="34">
        <f>672.5*2</f>
        <v>1345</v>
      </c>
    </row>
    <row r="102" spans="1:60" ht="15.75" x14ac:dyDescent="0.25">
      <c r="A102" s="8"/>
      <c r="B102" s="8"/>
      <c r="C102" s="9"/>
      <c r="D102" s="10"/>
      <c r="E102" s="11"/>
      <c r="F102" s="10"/>
      <c r="G102" s="10"/>
      <c r="H102" s="10"/>
      <c r="I102" s="10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</row>
    <row r="103" spans="1:60" x14ac:dyDescent="0.25">
      <c r="A103" s="12"/>
      <c r="B103" s="12"/>
      <c r="C103" s="12"/>
      <c r="D103" s="13"/>
      <c r="E103" s="13"/>
      <c r="F103" s="13"/>
      <c r="G103" s="13"/>
      <c r="H103" s="13"/>
      <c r="I103" s="13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</row>
    <row r="104" spans="1:60" x14ac:dyDescent="0.25">
      <c r="A104" s="12"/>
      <c r="B104" s="12"/>
      <c r="C104" s="12" t="s">
        <v>147</v>
      </c>
      <c r="D104" s="12"/>
      <c r="E104" s="12"/>
      <c r="F104" s="12"/>
      <c r="G104" s="12"/>
      <c r="H104" s="12"/>
      <c r="I104" s="12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</row>
    <row r="105" spans="1:60" x14ac:dyDescent="0.25">
      <c r="A105" s="12"/>
      <c r="B105" s="12"/>
      <c r="C105" s="12" t="s">
        <v>102</v>
      </c>
      <c r="D105" s="12">
        <v>64</v>
      </c>
      <c r="E105" s="12"/>
      <c r="F105" s="12" t="s">
        <v>103</v>
      </c>
      <c r="G105" s="12"/>
      <c r="H105" s="12">
        <v>5</v>
      </c>
      <c r="I105" s="12"/>
    </row>
    <row r="106" spans="1:60" x14ac:dyDescent="0.25">
      <c r="A106" s="12"/>
      <c r="B106" s="12"/>
      <c r="C106" s="12" t="s">
        <v>104</v>
      </c>
      <c r="D106" s="12">
        <v>22</v>
      </c>
      <c r="E106" s="12"/>
      <c r="F106" s="12" t="s">
        <v>105</v>
      </c>
      <c r="G106" s="12"/>
      <c r="H106" s="12">
        <v>81</v>
      </c>
      <c r="I106" s="12"/>
    </row>
    <row r="107" spans="1:60" x14ac:dyDescent="0.25">
      <c r="A107" s="12"/>
      <c r="B107" s="12"/>
      <c r="C107" s="12" t="s">
        <v>106</v>
      </c>
      <c r="D107" s="12">
        <f>SUM(D105:D106)</f>
        <v>86</v>
      </c>
      <c r="E107" s="12"/>
      <c r="F107" s="12" t="s">
        <v>148</v>
      </c>
      <c r="G107" s="12"/>
      <c r="H107" s="12">
        <v>0</v>
      </c>
      <c r="I107" s="12"/>
    </row>
    <row r="108" spans="1:60" x14ac:dyDescent="0.25">
      <c r="A108" s="12"/>
      <c r="B108" s="12"/>
      <c r="C108" s="12"/>
      <c r="D108" s="12"/>
      <c r="E108" s="12"/>
      <c r="F108" s="14" t="s">
        <v>106</v>
      </c>
      <c r="G108" s="12"/>
      <c r="H108" s="12">
        <f>SUM(H105:H107)</f>
        <v>86</v>
      </c>
      <c r="I108" s="12"/>
    </row>
    <row r="109" spans="1:60" x14ac:dyDescent="0.2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60" x14ac:dyDescent="0.25">
      <c r="A110" s="12"/>
      <c r="B110" s="12"/>
      <c r="C110" s="12" t="s">
        <v>107</v>
      </c>
      <c r="D110" s="12" t="s">
        <v>108</v>
      </c>
      <c r="E110" s="12">
        <v>40</v>
      </c>
      <c r="F110" s="12"/>
      <c r="G110" s="12"/>
      <c r="H110" s="12"/>
      <c r="I110" s="12"/>
    </row>
    <row r="111" spans="1:60" x14ac:dyDescent="0.25">
      <c r="A111" s="12"/>
      <c r="B111" s="12"/>
      <c r="C111" s="12" t="s">
        <v>109</v>
      </c>
      <c r="D111" s="12" t="s">
        <v>110</v>
      </c>
      <c r="E111" s="12">
        <v>46</v>
      </c>
      <c r="F111" s="12"/>
      <c r="G111" s="12"/>
      <c r="H111" s="12"/>
      <c r="I111" s="12"/>
    </row>
    <row r="112" spans="1:60" x14ac:dyDescent="0.25">
      <c r="A112" s="12"/>
      <c r="B112" s="12"/>
      <c r="C112" s="12"/>
      <c r="D112" s="12"/>
      <c r="E112" s="12">
        <f>SUM(E110:E111)</f>
        <v>86</v>
      </c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25">
      <c r="A114" s="12"/>
      <c r="B114" s="12"/>
      <c r="C114" s="12" t="s">
        <v>111</v>
      </c>
      <c r="D114" s="12">
        <v>29</v>
      </c>
      <c r="E114" s="12"/>
      <c r="F114" s="12" t="s">
        <v>112</v>
      </c>
      <c r="G114" s="12"/>
      <c r="H114" s="12">
        <v>11</v>
      </c>
      <c r="I114" s="12">
        <f>D114+H114</f>
        <v>40</v>
      </c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2"/>
      <c r="B116" s="12"/>
      <c r="C116" s="12" t="s">
        <v>113</v>
      </c>
      <c r="D116" s="12">
        <v>35</v>
      </c>
      <c r="E116" s="12"/>
      <c r="F116" s="12" t="s">
        <v>114</v>
      </c>
      <c r="G116" s="12"/>
      <c r="H116" s="12">
        <v>11</v>
      </c>
      <c r="I116" s="12">
        <f>D116+H116</f>
        <v>46</v>
      </c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12"/>
      <c r="B118" s="12"/>
      <c r="C118" s="12" t="s">
        <v>106</v>
      </c>
      <c r="D118" s="12"/>
      <c r="E118" s="12"/>
      <c r="F118" s="12" t="s">
        <v>106</v>
      </c>
      <c r="G118" s="12" t="s">
        <v>115</v>
      </c>
      <c r="H118" s="12"/>
      <c r="I118" s="12">
        <f>SUM(I114:I117)</f>
        <v>86</v>
      </c>
    </row>
  </sheetData>
  <mergeCells count="9"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2019-08-05T15:09:54Z</cp:lastPrinted>
  <dcterms:created xsi:type="dcterms:W3CDTF">2018-03-21T18:00:46Z</dcterms:created>
  <dcterms:modified xsi:type="dcterms:W3CDTF">2019-09-23T15:52:12Z</dcterms:modified>
</cp:coreProperties>
</file>